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55" windowHeight="5610" activeTab="2"/>
  </bookViews>
  <sheets>
    <sheet name="À propos" sheetId="1" r:id="rId1"/>
    <sheet name="Contexte" sheetId="2" r:id="rId2"/>
    <sheet name="TestMoyenne" sheetId="3" r:id="rId3"/>
    <sheet name="Graphe efficacité" sheetId="4" state="hidden" r:id="rId4"/>
  </sheets>
  <externalReferences>
    <externalReference r:id="rId7"/>
  </externalReferences>
  <definedNames>
    <definedName name="alpha">'TestMoyenne'!$D$10</definedName>
    <definedName name="anim">'TestMoyenne'!$E$51</definedName>
    <definedName name="cas">'TestMoyenne'!$E$50</definedName>
    <definedName name="contexte">'TestMoyenne'!$W$56</definedName>
    <definedName name="etxbarre">'TestMoyenne'!$D$27</definedName>
    <definedName name="max">'TestMoyenne'!$S$57</definedName>
    <definedName name="min">'TestMoyenne'!$S$56</definedName>
    <definedName name="mu_1">'TestMoyenne'!$L$4</definedName>
    <definedName name="mu0">'TestMoyenne'!$D$9</definedName>
    <definedName name="mu2">'TestMoyenne'!$L$6</definedName>
    <definedName name="mualt">'Graphe efficacité'!$A$12:$A$72</definedName>
    <definedName name="n">'TestMoyenne'!$D$11</definedName>
    <definedName name="n_ech">'[1]Comparaison animée'!$F$10</definedName>
    <definedName name="nature">'TestMoyenne'!$D$7</definedName>
    <definedName name="npop">'TestMoyenne'!$D$12</definedName>
    <definedName name="point_crit_1">'TestMoyenne'!$F$5</definedName>
    <definedName name="point_crit_2">'TestMoyenne'!$J$5</definedName>
    <definedName name="Puiss_reelle">'TestMoyenne'!$N$6</definedName>
    <definedName name="puissance">'TestMoyenne'!$O$6</definedName>
    <definedName name="sigma">'TestMoyenne'!$D$15</definedName>
    <definedName name="solver_adj" localSheetId="2" hidden="1">'TestMoyenne'!$D$11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'TestMoyenne'!$N$6</definedName>
    <definedName name="solver_pre" localSheetId="2" hidden="1">0.0001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'TestMoyenne'!$O$6</definedName>
    <definedName name="vxbarre">'TestMoyenne'!$D$26</definedName>
    <definedName name="zalpha">'TestMoyenne'!$D$25</definedName>
  </definedNames>
  <calcPr fullCalcOnLoad="1"/>
</workbook>
</file>

<file path=xl/comments3.xml><?xml version="1.0" encoding="utf-8"?>
<comments xmlns="http://schemas.openxmlformats.org/spreadsheetml/2006/main">
  <authors>
    <author>SEG</author>
    <author>Enseignements G?n?raux</author>
  </authors>
  <commentList>
    <comment ref="D9" authorId="0">
      <text>
        <r>
          <rPr>
            <b/>
            <sz val="8"/>
            <rFont val="Tahoma"/>
            <family val="0"/>
          </rPr>
          <t xml:space="preserve">Inscrire la valeur de la moyenne </t>
        </r>
        <r>
          <rPr>
            <sz val="8"/>
            <rFont val="Symbol"/>
            <family val="1"/>
          </rPr>
          <t>m</t>
        </r>
        <r>
          <rPr>
            <b/>
            <vertAlign val="subscript"/>
            <sz val="8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 .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Inscrire la valeur de l'écart-type </t>
        </r>
        <r>
          <rPr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de la population ou de l'échantillon </t>
        </r>
        <r>
          <rPr>
            <b/>
            <i/>
            <sz val="8"/>
            <rFont val="Tahoma"/>
            <family val="2"/>
          </rPr>
          <t>s</t>
        </r>
        <r>
          <rPr>
            <b/>
            <sz val="8"/>
            <rFont val="Tahoma"/>
            <family val="0"/>
          </rPr>
          <t xml:space="preserve"> .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Inscrire la valeur du seuil de signification </t>
        </r>
        <r>
          <rPr>
            <sz val="8"/>
            <rFont val="Symbol"/>
            <family val="1"/>
          </rPr>
          <t>a</t>
        </r>
        <r>
          <rPr>
            <b/>
            <sz val="8"/>
            <rFont val="Tahoma"/>
            <family val="0"/>
          </rPr>
          <t xml:space="preserve"> .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Inscrire la valeur de la taille de l'échantillon </t>
        </r>
        <r>
          <rPr>
            <b/>
            <i/>
            <sz val="8"/>
            <rFont val="Tahoma"/>
            <family val="2"/>
          </rPr>
          <t>n</t>
        </r>
        <r>
          <rPr>
            <b/>
            <sz val="8"/>
            <rFont val="Tahoma"/>
            <family val="0"/>
          </rPr>
          <t xml:space="preserve"> .</t>
        </r>
      </text>
    </comment>
    <comment ref="D12" authorId="0">
      <text>
        <r>
          <rPr>
            <sz val="8"/>
            <rFont val="Book Antiqua"/>
            <family val="1"/>
          </rPr>
          <t xml:space="preserve">Inscrire la taille </t>
        </r>
        <r>
          <rPr>
            <i/>
            <sz val="8"/>
            <rFont val="Book Antiqua"/>
            <family val="1"/>
          </rPr>
          <t>N</t>
        </r>
        <r>
          <rPr>
            <sz val="8"/>
            <rFont val="Book Antiqua"/>
            <family val="1"/>
          </rPr>
          <t xml:space="preserve"> de la population si celle-ci est connue et que le tirage est fait sans remise.
Dans le cas où le tirage est fait avec remise ou encore si la taille </t>
        </r>
        <r>
          <rPr>
            <i/>
            <sz val="8"/>
            <rFont val="Book Antiqua"/>
            <family val="1"/>
          </rPr>
          <t>N</t>
        </r>
        <r>
          <rPr>
            <sz val="8"/>
            <rFont val="Book Antiqua"/>
            <family val="1"/>
          </rPr>
          <t xml:space="preserve"> est inconnue, inscrire </t>
        </r>
        <r>
          <rPr>
            <sz val="8"/>
            <color indexed="10"/>
            <rFont val="Book Antiqua"/>
            <family val="1"/>
          </rPr>
          <t>INF</t>
        </r>
        <r>
          <rPr>
            <sz val="8"/>
            <rFont val="Book Antiqua"/>
            <family val="1"/>
          </rPr>
          <t xml:space="preserve"> .</t>
        </r>
      </text>
    </comment>
    <comment ref="D7" authorId="0">
      <text>
        <r>
          <rPr>
            <b/>
            <sz val="8"/>
            <rFont val="Tahoma"/>
            <family val="0"/>
          </rPr>
          <t>Sélectionner à l'aide des flèches le type de test: unilatéral (à gauche ou à droite) ou bilatéral.</t>
        </r>
      </text>
    </comment>
    <comment ref="L6" authorId="0">
      <text>
        <r>
          <rPr>
            <b/>
            <sz val="8"/>
            <rFont val="Tahoma"/>
            <family val="0"/>
          </rPr>
          <t xml:space="preserve">Inscrire une valeur alternative </t>
        </r>
        <r>
          <rPr>
            <b/>
            <sz val="8"/>
            <rFont val="Symbol"/>
            <family val="1"/>
          </rPr>
          <t>m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de la moyenne.</t>
        </r>
      </text>
    </comment>
    <comment ref="M6" authorId="0">
      <text>
        <r>
          <rPr>
            <b/>
            <sz val="8"/>
            <rFont val="Tahoma"/>
            <family val="0"/>
          </rPr>
          <t xml:space="preserve">La valeur de l'efficacité du test pour la valeur alternative </t>
        </r>
        <r>
          <rPr>
            <sz val="8"/>
            <rFont val="Symbol"/>
            <family val="1"/>
          </rPr>
          <t>m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.
Utiliser le solveur sur cette cellule pour trouver </t>
        </r>
        <r>
          <rPr>
            <b/>
            <i/>
            <sz val="8"/>
            <rFont val="Tahoma"/>
            <family val="2"/>
          </rPr>
          <t>n</t>
        </r>
        <r>
          <rPr>
            <b/>
            <sz val="8"/>
            <rFont val="Tahoma"/>
            <family val="0"/>
          </rPr>
          <t>.</t>
        </r>
      </text>
    </comment>
    <comment ref="D17" authorId="1">
      <text>
        <r>
          <rPr>
            <b/>
            <sz val="8"/>
            <rFont val="Tahoma"/>
            <family val="0"/>
          </rPr>
          <t xml:space="preserve">Cliquer </t>
        </r>
        <r>
          <rPr>
            <b/>
            <i/>
            <sz val="8"/>
            <rFont val="Tahoma"/>
            <family val="2"/>
          </rPr>
          <t>Oui</t>
        </r>
        <r>
          <rPr>
            <b/>
            <sz val="8"/>
            <rFont val="Tahoma"/>
            <family val="0"/>
          </rPr>
          <t xml:space="preserve"> si l'écart-type de la population est connu.
Cliquer </t>
        </r>
        <r>
          <rPr>
            <b/>
            <i/>
            <sz val="8"/>
            <rFont val="Tahoma"/>
            <family val="2"/>
          </rPr>
          <t>Non</t>
        </r>
        <r>
          <rPr>
            <b/>
            <sz val="8"/>
            <rFont val="Tahoma"/>
            <family val="0"/>
          </rPr>
          <t xml:space="preserve"> si l'écart-type de la population est inconnu.</t>
        </r>
      </text>
    </comment>
    <comment ref="O6" authorId="1">
      <text>
        <r>
          <rPr>
            <b/>
            <sz val="8"/>
            <rFont val="Tahoma"/>
            <family val="0"/>
          </rPr>
          <t>Inscrire la puissance désirée pour la valeur m1 inscrite.
Appuyer ensuite sur le bouton "Déterminer la taille d'échantillon nécessaire".</t>
        </r>
      </text>
    </comment>
  </commentList>
</comments>
</file>

<file path=xl/sharedStrings.xml><?xml version="1.0" encoding="utf-8"?>
<sst xmlns="http://schemas.openxmlformats.org/spreadsheetml/2006/main" count="62" uniqueCount="57">
  <si>
    <t>Moy. réelle</t>
  </si>
  <si>
    <t>Efficacité</t>
  </si>
  <si>
    <t>Puissance</t>
  </si>
  <si>
    <r>
      <t>m</t>
    </r>
    <r>
      <rPr>
        <vertAlign val="subscript"/>
        <sz val="10"/>
        <color indexed="58"/>
        <rFont val="Arial"/>
        <family val="2"/>
      </rPr>
      <t>1</t>
    </r>
  </si>
  <si>
    <t>b</t>
  </si>
  <si>
    <r>
      <t>1</t>
    </r>
    <r>
      <rPr>
        <sz val="10"/>
        <color indexed="32"/>
        <rFont val="Symbol"/>
        <family val="1"/>
      </rPr>
      <t>-b</t>
    </r>
  </si>
  <si>
    <r>
      <t>m</t>
    </r>
    <r>
      <rPr>
        <b/>
        <sz val="10"/>
        <color indexed="12"/>
        <rFont val="Arial"/>
        <family val="0"/>
      </rPr>
      <t xml:space="preserve"> =</t>
    </r>
  </si>
  <si>
    <r>
      <t>m</t>
    </r>
    <r>
      <rPr>
        <b/>
        <vertAlign val="subscript"/>
        <sz val="10"/>
        <color indexed="10"/>
        <rFont val="Arial"/>
        <family val="2"/>
      </rPr>
      <t>0</t>
    </r>
    <r>
      <rPr>
        <b/>
        <sz val="10"/>
        <color indexed="10"/>
        <rFont val="Arial"/>
        <family val="0"/>
      </rPr>
      <t xml:space="preserve"> =</t>
    </r>
  </si>
  <si>
    <r>
      <t>a</t>
    </r>
    <r>
      <rPr>
        <b/>
        <sz val="10"/>
        <color indexed="10"/>
        <rFont val="Arial"/>
        <family val="0"/>
      </rPr>
      <t xml:space="preserve"> =</t>
    </r>
  </si>
  <si>
    <t>n =</t>
  </si>
  <si>
    <t>N =</t>
  </si>
  <si>
    <t>Compteurs</t>
  </si>
  <si>
    <t>Dessin loi</t>
  </si>
  <si>
    <t>Dessin points critiques</t>
  </si>
  <si>
    <r>
      <t xml:space="preserve">Dessin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0</t>
    </r>
  </si>
  <si>
    <t>Point max</t>
  </si>
  <si>
    <t>sous H0</t>
  </si>
  <si>
    <t>sous H1</t>
  </si>
  <si>
    <t>minimum</t>
  </si>
  <si>
    <t>maximum</t>
  </si>
  <si>
    <r>
      <t xml:space="preserve">Dessin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</t>
    </r>
  </si>
  <si>
    <t>Dessin seuil de</t>
  </si>
  <si>
    <t>signification</t>
  </si>
  <si>
    <t>G ou D</t>
  </si>
  <si>
    <t>Dessin efficacité</t>
  </si>
  <si>
    <t>BI</t>
  </si>
  <si>
    <t>m</t>
  </si>
  <si>
    <t>1-b</t>
  </si>
  <si>
    <t>Variation de</t>
  </si>
  <si>
    <t>Nature du test</t>
  </si>
  <si>
    <r>
      <t>s</t>
    </r>
    <r>
      <rPr>
        <b/>
        <i/>
        <sz val="10"/>
        <color indexed="10"/>
        <rFont val="Book Antiqua"/>
        <family val="1"/>
      </rPr>
      <t xml:space="preserve"> ou s</t>
    </r>
    <r>
      <rPr>
        <b/>
        <sz val="10"/>
        <color indexed="10"/>
        <rFont val="Symbol"/>
        <family val="1"/>
      </rPr>
      <t>=</t>
    </r>
  </si>
  <si>
    <r>
      <t>s</t>
    </r>
    <r>
      <rPr>
        <b/>
        <i/>
        <sz val="10"/>
        <color indexed="10"/>
        <rFont val="Book Antiqua"/>
        <family val="1"/>
      </rPr>
      <t xml:space="preserve"> connu ?</t>
    </r>
  </si>
  <si>
    <r>
      <t>b(m</t>
    </r>
    <r>
      <rPr>
        <vertAlign val="subscript"/>
        <sz val="10"/>
        <color indexed="10"/>
        <rFont val="Symbol"/>
        <family val="1"/>
      </rPr>
      <t>1</t>
    </r>
    <r>
      <rPr>
        <sz val="10"/>
        <color indexed="10"/>
        <rFont val="Symbol"/>
        <family val="1"/>
      </rPr>
      <t>)</t>
    </r>
  </si>
  <si>
    <t>Oui</t>
  </si>
  <si>
    <t>Non</t>
  </si>
  <si>
    <t>Contrôle du contexte</t>
  </si>
  <si>
    <t>1=normale ; 2=Student</t>
  </si>
  <si>
    <t xml:space="preserve"> </t>
  </si>
  <si>
    <t>Sujet :</t>
  </si>
  <si>
    <t>Auteur :</t>
  </si>
  <si>
    <t>Claude Blais, chargé d'enseignement, ÉTS.</t>
  </si>
  <si>
    <t>cblais@seg.etsmtl.ca</t>
  </si>
  <si>
    <t>Date de création:</t>
  </si>
  <si>
    <t>Dernière révision:</t>
  </si>
  <si>
    <t>Descriptif / instructions :</t>
  </si>
  <si>
    <t>Année 1997</t>
  </si>
  <si>
    <t>Le test sur une moyenne et l'erreur de deuxième espèce</t>
  </si>
  <si>
    <t>Ce classeur illustre le concept de test sur une moyenne.</t>
  </si>
  <si>
    <t>Il sert à la fois d'outil d'illustration pour le professeur</t>
  </si>
  <si>
    <t>et d'outil de vérification pour l'étudiant.</t>
  </si>
  <si>
    <t>cas; BI</t>
  </si>
  <si>
    <t>cas; G ou D</t>
  </si>
  <si>
    <t>Les hypothèses testées;</t>
  </si>
  <si>
    <t>H0 ;</t>
  </si>
  <si>
    <t xml:space="preserve">Règle de décision;  </t>
  </si>
  <si>
    <t>H1 ;</t>
  </si>
  <si>
    <t>H0 est acceptée si ;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</si>
</sst>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00"/>
    <numFmt numFmtId="180" formatCode="0.0"/>
    <numFmt numFmtId="181" formatCode="d\ mmmm\ yyyy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12"/>
      <name val="Arial"/>
      <family val="0"/>
    </font>
    <font>
      <sz val="8"/>
      <name val="Arial"/>
      <family val="0"/>
    </font>
    <font>
      <sz val="8"/>
      <name val="Symbol"/>
      <family val="1"/>
    </font>
    <font>
      <sz val="10"/>
      <color indexed="32"/>
      <name val="Symbol"/>
      <family val="1"/>
    </font>
    <font>
      <b/>
      <sz val="10"/>
      <color indexed="10"/>
      <name val="Symbol"/>
      <family val="1"/>
    </font>
    <font>
      <b/>
      <vertAlign val="subscript"/>
      <sz val="10"/>
      <color indexed="10"/>
      <name val="Arial"/>
      <family val="2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b/>
      <sz val="10"/>
      <color indexed="12"/>
      <name val="Symbol"/>
      <family val="1"/>
    </font>
    <font>
      <b/>
      <sz val="10"/>
      <color indexed="12"/>
      <name val="Arial"/>
      <family val="0"/>
    </font>
    <font>
      <b/>
      <sz val="10"/>
      <color indexed="32"/>
      <name val="Arial"/>
      <family val="0"/>
    </font>
    <font>
      <sz val="10"/>
      <color indexed="10"/>
      <name val="Symbol"/>
      <family val="1"/>
    </font>
    <font>
      <sz val="10"/>
      <color indexed="32"/>
      <name val="Arial"/>
      <family val="0"/>
    </font>
    <font>
      <sz val="10"/>
      <color indexed="58"/>
      <name val="Symbol"/>
      <family val="1"/>
    </font>
    <font>
      <vertAlign val="subscript"/>
      <sz val="10"/>
      <color indexed="58"/>
      <name val="Arial"/>
      <family val="2"/>
    </font>
    <font>
      <b/>
      <sz val="10"/>
      <color indexed="58"/>
      <name val="Arial"/>
      <family val="0"/>
    </font>
    <font>
      <sz val="10"/>
      <color indexed="12"/>
      <name val="Symbol"/>
      <family val="1"/>
    </font>
    <font>
      <vertAlign val="subscript"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32"/>
      <name val="Arial"/>
      <family val="0"/>
    </font>
    <font>
      <b/>
      <sz val="8"/>
      <name val="Arial"/>
      <family val="0"/>
    </font>
    <font>
      <b/>
      <sz val="8"/>
      <name val="Symbol"/>
      <family val="1"/>
    </font>
    <font>
      <b/>
      <vertAlign val="subscript"/>
      <sz val="8"/>
      <name val="Arial"/>
      <family val="2"/>
    </font>
    <font>
      <sz val="14"/>
      <color indexed="58"/>
      <name val="AvantGarde"/>
      <family val="2"/>
    </font>
    <font>
      <sz val="14"/>
      <name val="Arial"/>
      <family val="0"/>
    </font>
    <font>
      <vertAlign val="subscript"/>
      <sz val="12"/>
      <color indexed="10"/>
      <name val="Symbol"/>
      <family val="1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sz val="9"/>
      <color indexed="17"/>
      <name val="Arial"/>
      <family val="2"/>
    </font>
    <font>
      <sz val="12"/>
      <color indexed="61"/>
      <name val="Book Antiqua"/>
      <family val="1"/>
    </font>
    <font>
      <b/>
      <sz val="12"/>
      <color indexed="61"/>
      <name val="Book Antiqua"/>
      <family val="1"/>
    </font>
    <font>
      <b/>
      <sz val="14"/>
      <color indexed="61"/>
      <name val="AvantGarde"/>
      <family val="2"/>
    </font>
    <font>
      <b/>
      <i/>
      <sz val="14"/>
      <color indexed="61"/>
      <name val="AvantGarde"/>
      <family val="2"/>
    </font>
    <font>
      <b/>
      <i/>
      <sz val="14"/>
      <color indexed="61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8"/>
      <name val="Tahoma"/>
      <family val="0"/>
    </font>
    <font>
      <b/>
      <vertAlign val="subscript"/>
      <sz val="8"/>
      <name val="Tahoma"/>
      <family val="2"/>
    </font>
    <font>
      <b/>
      <i/>
      <sz val="8"/>
      <name val="Tahoma"/>
      <family val="2"/>
    </font>
    <font>
      <i/>
      <sz val="8"/>
      <name val="Book Antiqua"/>
      <family val="1"/>
    </font>
    <font>
      <sz val="8"/>
      <color indexed="10"/>
      <name val="Book Antiqua"/>
      <family val="1"/>
    </font>
    <font>
      <i/>
      <sz val="14"/>
      <color indexed="10"/>
      <name val="Book Antiqua"/>
      <family val="1"/>
    </font>
    <font>
      <b/>
      <i/>
      <sz val="10"/>
      <color indexed="10"/>
      <name val="Symbol"/>
      <family val="1"/>
    </font>
    <font>
      <b/>
      <i/>
      <sz val="10"/>
      <color indexed="10"/>
      <name val="Book Antiqua"/>
      <family val="1"/>
    </font>
    <font>
      <b/>
      <i/>
      <sz val="10"/>
      <color indexed="56"/>
      <name val="Arial"/>
      <family val="2"/>
    </font>
    <font>
      <u val="single"/>
      <sz val="12"/>
      <color indexed="61"/>
      <name val="Book Antiqua"/>
      <family val="1"/>
    </font>
    <font>
      <i/>
      <sz val="10"/>
      <color indexed="56"/>
      <name val="Arial"/>
      <family val="2"/>
    </font>
    <font>
      <sz val="14"/>
      <color indexed="12"/>
      <name val="Book Antiqua"/>
      <family val="1"/>
    </font>
    <font>
      <sz val="14"/>
      <color indexed="61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color indexed="10"/>
      <name val="Symbol"/>
      <family val="1"/>
    </font>
    <font>
      <sz val="8"/>
      <name val="Tahoma"/>
      <family val="2"/>
    </font>
    <font>
      <sz val="10"/>
      <name val="Book Antiqua"/>
      <family val="1"/>
    </font>
    <font>
      <b/>
      <sz val="8"/>
      <color indexed="10"/>
      <name val="Symbol"/>
      <family val="1"/>
    </font>
    <font>
      <b/>
      <vertAlign val="subscript"/>
      <sz val="8"/>
      <color indexed="10"/>
      <name val="Symbol"/>
      <family val="1"/>
    </font>
    <font>
      <sz val="10"/>
      <color indexed="57"/>
      <name val="Symbol"/>
      <family val="1"/>
    </font>
    <font>
      <vertAlign val="subscript"/>
      <sz val="10"/>
      <color indexed="57"/>
      <name val="Symbol"/>
      <family val="1"/>
    </font>
    <font>
      <sz val="8"/>
      <color indexed="57"/>
      <name val="Symbol"/>
      <family val="1"/>
    </font>
    <font>
      <vertAlign val="subscript"/>
      <sz val="8"/>
      <color indexed="57"/>
      <name val="Symbol"/>
      <family val="1"/>
    </font>
    <font>
      <b/>
      <i/>
      <sz val="12"/>
      <name val="Book Antiqua"/>
      <family val="1"/>
    </font>
    <font>
      <i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u val="single"/>
      <sz val="12"/>
      <color indexed="16"/>
      <name val="Book Antiqua"/>
      <family val="1"/>
    </font>
    <font>
      <b/>
      <u val="single"/>
      <sz val="10"/>
      <color indexed="16"/>
      <name val="Book Antiqua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24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21" fillId="3" borderId="10" xfId="0" applyNumberFormat="1" applyFont="1" applyFill="1" applyBorder="1" applyAlignment="1" applyProtection="1">
      <alignment horizontal="center"/>
      <protection/>
    </xf>
    <xf numFmtId="176" fontId="12" fillId="3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4" borderId="12" xfId="0" applyFont="1" applyFill="1" applyBorder="1" applyAlignment="1" applyProtection="1">
      <alignment horizontal="left"/>
      <protection locked="0"/>
    </xf>
    <xf numFmtId="172" fontId="15" fillId="4" borderId="12" xfId="22" applyNumberFormat="1" applyFont="1" applyFill="1" applyBorder="1" applyAlignment="1" applyProtection="1">
      <alignment horizontal="left"/>
      <protection locked="0"/>
    </xf>
    <xf numFmtId="0" fontId="15" fillId="4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1" fillId="0" borderId="14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right"/>
    </xf>
    <xf numFmtId="0" fontId="14" fillId="0" borderId="23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left"/>
    </xf>
    <xf numFmtId="2" fontId="21" fillId="0" borderId="10" xfId="0" applyNumberFormat="1" applyFont="1" applyFill="1" applyBorder="1" applyAlignment="1" applyProtection="1">
      <alignment horizontal="center"/>
      <protection/>
    </xf>
    <xf numFmtId="176" fontId="12" fillId="0" borderId="11" xfId="0" applyNumberFormat="1" applyFont="1" applyFill="1" applyBorder="1" applyAlignment="1">
      <alignment horizontal="center"/>
    </xf>
    <xf numFmtId="176" fontId="16" fillId="0" borderId="2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77" fontId="1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34" fillId="0" borderId="0" xfId="0" applyFont="1" applyFill="1" applyAlignment="1">
      <alignment horizontal="left"/>
    </xf>
    <xf numFmtId="0" fontId="41" fillId="0" borderId="0" xfId="0" applyFont="1" applyFill="1" applyAlignment="1">
      <alignment horizontal="right"/>
    </xf>
    <xf numFmtId="176" fontId="16" fillId="0" borderId="12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10" fillId="0" borderId="12" xfId="0" applyFont="1" applyFill="1" applyBorder="1" applyAlignment="1" quotePrefix="1">
      <alignment horizontal="right"/>
    </xf>
    <xf numFmtId="0" fontId="10" fillId="0" borderId="12" xfId="0" applyFont="1" applyFill="1" applyBorder="1" applyAlignment="1">
      <alignment horizontal="right"/>
    </xf>
    <xf numFmtId="177" fontId="0" fillId="0" borderId="0" xfId="0" applyNumberFormat="1" applyFill="1" applyAlignment="1">
      <alignment/>
    </xf>
    <xf numFmtId="0" fontId="13" fillId="0" borderId="12" xfId="0" applyFont="1" applyFill="1" applyBorder="1" applyAlignment="1">
      <alignment horizontal="right"/>
    </xf>
    <xf numFmtId="0" fontId="31" fillId="0" borderId="27" xfId="0" applyFont="1" applyFill="1" applyBorder="1" applyAlignment="1">
      <alignment horizontal="left"/>
    </xf>
    <xf numFmtId="177" fontId="12" fillId="0" borderId="2" xfId="0" applyNumberFormat="1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4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6" xfId="0" applyFill="1" applyBorder="1" applyAlignment="1">
      <alignment/>
    </xf>
    <xf numFmtId="0" fontId="47" fillId="0" borderId="1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177" fontId="1" fillId="0" borderId="4" xfId="0" applyNumberFormat="1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" fillId="5" borderId="28" xfId="0" applyFont="1" applyFill="1" applyBorder="1" applyAlignment="1" applyProtection="1">
      <alignment horizontal="center"/>
      <protection/>
    </xf>
    <xf numFmtId="0" fontId="55" fillId="0" borderId="0" xfId="15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left"/>
    </xf>
    <xf numFmtId="0" fontId="15" fillId="0" borderId="3" xfId="0" applyFont="1" applyFill="1" applyBorder="1" applyAlignment="1" applyProtection="1">
      <alignment horizontal="left"/>
      <protection locked="0"/>
    </xf>
    <xf numFmtId="0" fontId="59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59" fillId="0" borderId="5" xfId="0" applyFont="1" applyFill="1" applyBorder="1" applyAlignment="1">
      <alignment/>
    </xf>
    <xf numFmtId="9" fontId="15" fillId="4" borderId="12" xfId="0" applyNumberFormat="1" applyFont="1" applyFill="1" applyBorder="1" applyAlignment="1">
      <alignment horizontal="center"/>
    </xf>
    <xf numFmtId="0" fontId="68" fillId="0" borderId="0" xfId="21" applyFont="1" applyFill="1">
      <alignment/>
      <protection/>
    </xf>
    <xf numFmtId="0" fontId="68" fillId="0" borderId="0" xfId="21" applyFont="1">
      <alignment/>
      <protection/>
    </xf>
    <xf numFmtId="0" fontId="69" fillId="0" borderId="0" xfId="21" applyFont="1">
      <alignment/>
      <protection/>
    </xf>
    <xf numFmtId="0" fontId="0" fillId="0" borderId="0" xfId="21">
      <alignment/>
      <protection/>
    </xf>
    <xf numFmtId="0" fontId="70" fillId="0" borderId="0" xfId="21" applyFont="1">
      <alignment/>
      <protection/>
    </xf>
    <xf numFmtId="0" fontId="71" fillId="4" borderId="0" xfId="21" applyFont="1" applyFill="1">
      <alignment/>
      <protection/>
    </xf>
    <xf numFmtId="0" fontId="68" fillId="4" borderId="0" xfId="21" applyFont="1" applyFill="1">
      <alignment/>
      <protection/>
    </xf>
    <xf numFmtId="0" fontId="71" fillId="0" borderId="0" xfId="21" applyFont="1">
      <alignment/>
      <protection/>
    </xf>
    <xf numFmtId="181" fontId="71" fillId="4" borderId="0" xfId="21" applyNumberFormat="1" applyFont="1" applyFill="1" applyAlignment="1">
      <alignment horizontal="left"/>
      <protection/>
    </xf>
    <xf numFmtId="0" fontId="0" fillId="4" borderId="0" xfId="21" applyFill="1">
      <alignment/>
      <protection/>
    </xf>
    <xf numFmtId="0" fontId="70" fillId="4" borderId="0" xfId="15" applyFont="1" applyFill="1" applyAlignment="1">
      <alignment horizontal="left"/>
    </xf>
    <xf numFmtId="0" fontId="71" fillId="4" borderId="0" xfId="21" applyFont="1" applyFill="1" applyAlignment="1">
      <alignment/>
      <protection/>
    </xf>
    <xf numFmtId="0" fontId="71" fillId="0" borderId="0" xfId="21" applyFont="1" applyFill="1">
      <alignment/>
      <protection/>
    </xf>
    <xf numFmtId="0" fontId="0" fillId="0" borderId="0" xfId="21" applyFill="1" applyAlignment="1">
      <alignment/>
      <protection/>
    </xf>
    <xf numFmtId="0" fontId="71" fillId="0" borderId="0" xfId="21" applyFont="1" applyFill="1" applyAlignment="1">
      <alignment/>
      <protection/>
    </xf>
    <xf numFmtId="0" fontId="55" fillId="0" borderId="0" xfId="15" applyFill="1" applyAlignment="1">
      <alignment horizontal="left"/>
    </xf>
    <xf numFmtId="0" fontId="70" fillId="0" borderId="0" xfId="15" applyFont="1" applyFill="1" applyAlignment="1">
      <alignment horizontal="left"/>
    </xf>
    <xf numFmtId="0" fontId="55" fillId="0" borderId="0" xfId="15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paraisonBinHyp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Risque de deuxième espèce </a:t>
            </a:r>
          </a:p>
        </c:rich>
      </c:tx>
      <c:layout>
        <c:manualLayout>
          <c:xMode val="factor"/>
          <c:yMode val="factor"/>
          <c:x val="-0.049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735"/>
          <c:w val="1"/>
          <c:h val="0.84575"/>
        </c:manualLayout>
      </c:layout>
      <c:scatterChart>
        <c:scatterStyle val="smooth"/>
        <c:varyColors val="0"/>
        <c:ser>
          <c:idx val="1"/>
          <c:order val="0"/>
          <c:tx>
            <c:v>Distribution de Xb sous H1 vraie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TestMoyenne!$J$57:$J$97</c:f>
              <c:numCache/>
            </c:numRef>
          </c:xVal>
          <c:yVal>
            <c:numRef>
              <c:f>TestMoyenne!$K$57:$K$97</c:f>
              <c:numCache/>
            </c:numRef>
          </c:yVal>
          <c:smooth val="1"/>
        </c:ser>
        <c:ser>
          <c:idx val="2"/>
          <c:order val="1"/>
          <c:tx>
            <c:v>Point crit. à gauche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Pt. crit.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TestMoyenne!$M$56:$M$57</c:f>
              <c:numCache/>
            </c:numRef>
          </c:xVal>
          <c:yVal>
            <c:numRef>
              <c:f>TestMoyenne!$N$56:$N$57</c:f>
              <c:numCache/>
            </c:numRef>
          </c:yVal>
          <c:smooth val="1"/>
        </c:ser>
        <c:ser>
          <c:idx val="3"/>
          <c:order val="2"/>
          <c:tx>
            <c:v>Point(s) critique(s)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Pt. crit.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TestMoyenne!$M$59:$M$60</c:f>
              <c:numCache/>
            </c:numRef>
          </c:xVal>
          <c:yVal>
            <c:numRef>
              <c:f>TestMoyenne!$N$59:$N$60</c:f>
              <c:numCache/>
            </c:numRef>
          </c:yVal>
          <c:smooth val="1"/>
        </c:ser>
        <c:ser>
          <c:idx val="22"/>
          <c:order val="3"/>
          <c:tx>
            <c:v>Efficacité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TestMoyenne!$P$67:$P$68</c:f>
              <c:numCache/>
            </c:numRef>
          </c:xVal>
          <c:yVal>
            <c:numRef>
              <c:f>TestMoyenne!$Q$67:$Q$68</c:f>
              <c:numCache/>
            </c:numRef>
          </c:yVal>
          <c:smooth val="1"/>
        </c:ser>
        <c:ser>
          <c:idx val="23"/>
          <c:order val="4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TestMoyenne!$P$69:$P$70</c:f>
              <c:numCache/>
            </c:numRef>
          </c:xVal>
          <c:yVal>
            <c:numRef>
              <c:f>TestMoyenne!$Q$69:$Q$70</c:f>
              <c:numCache/>
            </c:numRef>
          </c:yVal>
          <c:smooth val="1"/>
        </c:ser>
        <c:ser>
          <c:idx val="24"/>
          <c:order val="5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TestMoyenne!$P$71:$P$72</c:f>
              <c:numCache/>
            </c:numRef>
          </c:xVal>
          <c:yVal>
            <c:numRef>
              <c:f>TestMoyenne!$Q$71:$Q$72</c:f>
              <c:numCache/>
            </c:numRef>
          </c:yVal>
          <c:smooth val="1"/>
        </c:ser>
        <c:ser>
          <c:idx val="25"/>
          <c:order val="6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TestMoyenne!$P$73:$P$74</c:f>
              <c:numCache/>
            </c:numRef>
          </c:xVal>
          <c:yVal>
            <c:numRef>
              <c:f>TestMoyenne!$Q$73:$Q$74</c:f>
              <c:numCache/>
            </c:numRef>
          </c:yVal>
          <c:smooth val="1"/>
        </c:ser>
        <c:ser>
          <c:idx val="26"/>
          <c:order val="7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TestMoyenne!$P$75:$P$76</c:f>
              <c:numCache/>
            </c:numRef>
          </c:xVal>
          <c:yVal>
            <c:numRef>
              <c:f>TestMoyenne!$Q$75:$Q$76</c:f>
              <c:numCache/>
            </c:numRef>
          </c:yVal>
          <c:smooth val="1"/>
        </c:ser>
        <c:ser>
          <c:idx val="27"/>
          <c:order val="8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TestMoyenne!$P$77:$P$78</c:f>
              <c:numCache/>
            </c:numRef>
          </c:xVal>
          <c:yVal>
            <c:numRef>
              <c:f>TestMoyenne!$Q$77:$Q$78</c:f>
              <c:numCache/>
            </c:numRef>
          </c:yVal>
          <c:smooth val="1"/>
        </c:ser>
        <c:ser>
          <c:idx val="28"/>
          <c:order val="9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TestMoyenne!$P$79:$P$80</c:f>
              <c:numCache/>
            </c:numRef>
          </c:xVal>
          <c:yVal>
            <c:numRef>
              <c:f>TestMoyenne!$Q$79:$Q$80</c:f>
              <c:numCache/>
            </c:numRef>
          </c:yVal>
          <c:smooth val="1"/>
        </c:ser>
        <c:ser>
          <c:idx val="29"/>
          <c:order val="1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TestMoyenne!$P$81:$P$82</c:f>
              <c:numCache/>
            </c:numRef>
          </c:xVal>
          <c:yVal>
            <c:numRef>
              <c:f>TestMoyenne!$Q$81:$Q$82</c:f>
              <c:numCache/>
            </c:numRef>
          </c:yVal>
          <c:smooth val="1"/>
        </c:ser>
        <c:ser>
          <c:idx val="30"/>
          <c:order val="1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TestMoyenne!$P$83:$P$84</c:f>
              <c:numCache/>
            </c:numRef>
          </c:xVal>
          <c:yVal>
            <c:numRef>
              <c:f>TestMoyenne!$Q$83:$Q$84</c:f>
              <c:numCache/>
            </c:numRef>
          </c:yVal>
          <c:smooth val="1"/>
        </c:ser>
        <c:ser>
          <c:idx val="31"/>
          <c:order val="1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TestMoyenne!$P$85:$P$86</c:f>
              <c:numCache/>
            </c:numRef>
          </c:xVal>
          <c:yVal>
            <c:numRef>
              <c:f>TestMoyenne!$Q$85:$Q$86</c:f>
              <c:numCache/>
            </c:numRef>
          </c:yVal>
          <c:smooth val="1"/>
        </c:ser>
        <c:ser>
          <c:idx val="32"/>
          <c:order val="13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TestMoyenne!$P$87:$P$88</c:f>
              <c:numCache/>
            </c:numRef>
          </c:xVal>
          <c:yVal>
            <c:numRef>
              <c:f>TestMoyenne!$Q$87:$Q$88</c:f>
              <c:numCache/>
            </c:numRef>
          </c:yVal>
          <c:smooth val="1"/>
        </c:ser>
        <c:ser>
          <c:idx val="33"/>
          <c:order val="14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TestMoyenne!$P$89:$P$90</c:f>
              <c:numCache/>
            </c:numRef>
          </c:xVal>
          <c:yVal>
            <c:numRef>
              <c:f>TestMoyenne!$Q$89:$Q$90</c:f>
              <c:numCache/>
            </c:numRef>
          </c:yVal>
          <c:smooth val="1"/>
        </c:ser>
        <c:ser>
          <c:idx val="34"/>
          <c:order val="15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TestMoyenne!$P$91:$P$92</c:f>
              <c:numCache/>
            </c:numRef>
          </c:xVal>
          <c:yVal>
            <c:numRef>
              <c:f>TestMoyenne!$Q$91:$Q$92</c:f>
              <c:numCache/>
            </c:numRef>
          </c:yVal>
          <c:smooth val="1"/>
        </c:ser>
        <c:ser>
          <c:idx val="35"/>
          <c:order val="16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TestMoyenne!$P$93:$P$94</c:f>
              <c:numCache/>
            </c:numRef>
          </c:xVal>
          <c:yVal>
            <c:numRef>
              <c:f>TestMoyenne!$Q$93:$Q$94</c:f>
              <c:numCache/>
            </c:numRef>
          </c:yVal>
          <c:smooth val="1"/>
        </c:ser>
        <c:ser>
          <c:idx val="36"/>
          <c:order val="17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TestMoyenne!$P$95:$P$96</c:f>
              <c:numCache/>
            </c:numRef>
          </c:xVal>
          <c:yVal>
            <c:numRef>
              <c:f>TestMoyenne!$Q$95:$Q$96</c:f>
              <c:numCache/>
            </c:numRef>
          </c:yVal>
          <c:smooth val="1"/>
        </c:ser>
        <c:ser>
          <c:idx val="39"/>
          <c:order val="18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TestMoyenne!$P$103:$P$104</c:f>
              <c:numCache/>
            </c:numRef>
          </c:xVal>
          <c:yVal>
            <c:numRef>
              <c:f>TestMoyenne!$Q$103:$Q$104</c:f>
              <c:numCache/>
            </c:numRef>
          </c:yVal>
          <c:smooth val="1"/>
        </c:ser>
        <c:ser>
          <c:idx val="40"/>
          <c:order val="19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TestMoyenne!$P$101:$P$102</c:f>
              <c:numCache/>
            </c:numRef>
          </c:xVal>
          <c:yVal>
            <c:numRef>
              <c:f>TestMoyenne!$Q$101:$Q$102</c:f>
              <c:numCache/>
            </c:numRef>
          </c:yVal>
          <c:smooth val="1"/>
        </c:ser>
        <c:ser>
          <c:idx val="41"/>
          <c:order val="2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TestMoyenne!$P$99:$P$100</c:f>
              <c:numCache/>
            </c:numRef>
          </c:xVal>
          <c:yVal>
            <c:numRef>
              <c:f>TestMoyenne!$Q$99:$Q$100</c:f>
              <c:numCache/>
            </c:numRef>
          </c:yVal>
          <c:smooth val="1"/>
        </c:ser>
        <c:ser>
          <c:idx val="37"/>
          <c:order val="2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TestMoyenne!$P$97:$P$98</c:f>
              <c:numCache/>
            </c:numRef>
          </c:xVal>
          <c:yVal>
            <c:numRef>
              <c:f>TestMoyenne!$Q$97:$Q$98</c:f>
              <c:numCache/>
            </c:numRef>
          </c:yVal>
          <c:smooth val="1"/>
        </c:ser>
        <c:ser>
          <c:idx val="38"/>
          <c:order val="2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TestMoyenne!$S$67:$S$68</c:f>
              <c:numCache/>
            </c:numRef>
          </c:xVal>
          <c:yVal>
            <c:numRef>
              <c:f>TestMoyenne!$T$67:$T$68</c:f>
              <c:numCache/>
            </c:numRef>
          </c:yVal>
          <c:smooth val="1"/>
        </c:ser>
        <c:ser>
          <c:idx val="42"/>
          <c:order val="23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TestMoyenne!$S$69:$S$70</c:f>
              <c:numCache/>
            </c:numRef>
          </c:xVal>
          <c:yVal>
            <c:numRef>
              <c:f>TestMoyenne!$T$69:$T$70</c:f>
              <c:numCache/>
            </c:numRef>
          </c:yVal>
          <c:smooth val="1"/>
        </c:ser>
        <c:ser>
          <c:idx val="43"/>
          <c:order val="24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TestMoyenne!$S$71:$S$72</c:f>
              <c:numCache/>
            </c:numRef>
          </c:xVal>
          <c:yVal>
            <c:numRef>
              <c:f>TestMoyenne!$T$71:$T$72</c:f>
              <c:numCache/>
            </c:numRef>
          </c:yVal>
          <c:smooth val="1"/>
        </c:ser>
        <c:ser>
          <c:idx val="44"/>
          <c:order val="25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TestMoyenne!$S$73:$S$74</c:f>
              <c:numCache/>
            </c:numRef>
          </c:xVal>
          <c:yVal>
            <c:numRef>
              <c:f>TestMoyenne!$T$73:$T$74</c:f>
              <c:numCache/>
            </c:numRef>
          </c:yVal>
          <c:smooth val="1"/>
        </c:ser>
        <c:ser>
          <c:idx val="45"/>
          <c:order val="26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TestMoyenne!$S$75:$S$76</c:f>
              <c:numCache/>
            </c:numRef>
          </c:xVal>
          <c:yVal>
            <c:numRef>
              <c:f>TestMoyenne!$T$75:$T$76</c:f>
              <c:numCache/>
            </c:numRef>
          </c:yVal>
          <c:smooth val="1"/>
        </c:ser>
        <c:ser>
          <c:idx val="46"/>
          <c:order val="27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TestMoyenne!$S$77:$S$78</c:f>
              <c:numCache/>
            </c:numRef>
          </c:xVal>
          <c:yVal>
            <c:numRef>
              <c:f>TestMoyenne!$T$77:$T$78</c:f>
              <c:numCache/>
            </c:numRef>
          </c:yVal>
          <c:smooth val="1"/>
        </c:ser>
        <c:ser>
          <c:idx val="47"/>
          <c:order val="28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TestMoyenne!$S$79:$S$80</c:f>
              <c:numCache/>
            </c:numRef>
          </c:xVal>
          <c:yVal>
            <c:numRef>
              <c:f>TestMoyenne!$T$79:$T$80</c:f>
              <c:numCache/>
            </c:numRef>
          </c:yVal>
          <c:smooth val="1"/>
        </c:ser>
        <c:ser>
          <c:idx val="48"/>
          <c:order val="29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TestMoyenne!$S$81:$S$82</c:f>
              <c:numCache/>
            </c:numRef>
          </c:xVal>
          <c:yVal>
            <c:numRef>
              <c:f>TestMoyenne!$T$81:$T$82</c:f>
              <c:numCache/>
            </c:numRef>
          </c:yVal>
          <c:smooth val="1"/>
        </c:ser>
        <c:ser>
          <c:idx val="49"/>
          <c:order val="3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TestMoyenne!$S$83:$S$84</c:f>
              <c:numCache/>
            </c:numRef>
          </c:xVal>
          <c:yVal>
            <c:numRef>
              <c:f>TestMoyenne!$T$83:$T$84</c:f>
              <c:numCache/>
            </c:numRef>
          </c:yVal>
          <c:smooth val="1"/>
        </c:ser>
        <c:ser>
          <c:idx val="50"/>
          <c:order val="3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TestMoyenne!$S$85:$S$86</c:f>
              <c:numCache/>
            </c:numRef>
          </c:xVal>
          <c:yVal>
            <c:numRef>
              <c:f>TestMoyenne!$T$85:$T$86</c:f>
              <c:numCache/>
            </c:numRef>
          </c:yVal>
          <c:smooth val="1"/>
        </c:ser>
        <c:ser>
          <c:idx val="51"/>
          <c:order val="3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TestMoyenne!$S$87:$S$88</c:f>
              <c:numCache/>
            </c:numRef>
          </c:xVal>
          <c:yVal>
            <c:numRef>
              <c:f>TestMoyenne!$T$87:$T$88</c:f>
              <c:numCache/>
            </c:numRef>
          </c:yVal>
          <c:smooth val="1"/>
        </c:ser>
        <c:ser>
          <c:idx val="53"/>
          <c:order val="33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TestMoyenne!$S$89:$S$90</c:f>
              <c:numCache/>
            </c:numRef>
          </c:xVal>
          <c:yVal>
            <c:numRef>
              <c:f>TestMoyenne!$T$89:$T$90</c:f>
              <c:numCache/>
            </c:numRef>
          </c:yVal>
          <c:smooth val="1"/>
        </c:ser>
        <c:ser>
          <c:idx val="54"/>
          <c:order val="34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TestMoyenne!$S$91:$S$92</c:f>
              <c:numCache/>
            </c:numRef>
          </c:xVal>
          <c:yVal>
            <c:numRef>
              <c:f>TestMoyenne!$T$91:$T$92</c:f>
              <c:numCache/>
            </c:numRef>
          </c:yVal>
          <c:smooth val="1"/>
        </c:ser>
        <c:ser>
          <c:idx val="55"/>
          <c:order val="35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TestMoyenne!$S$93:$S$94</c:f>
              <c:numCache/>
            </c:numRef>
          </c:xVal>
          <c:yVal>
            <c:numRef>
              <c:f>TestMoyenne!$T$93:$T$94</c:f>
              <c:numCache/>
            </c:numRef>
          </c:yVal>
          <c:smooth val="1"/>
        </c:ser>
        <c:ser>
          <c:idx val="56"/>
          <c:order val="36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TestMoyenne!$S$95:$S$96</c:f>
              <c:numCache/>
            </c:numRef>
          </c:xVal>
          <c:yVal>
            <c:numRef>
              <c:f>TestMoyenne!$T$95:$T$96</c:f>
              <c:numCache/>
            </c:numRef>
          </c:yVal>
          <c:smooth val="1"/>
        </c:ser>
        <c:ser>
          <c:idx val="57"/>
          <c:order val="37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TestMoyenne!$S$97:$S$98</c:f>
              <c:numCache/>
            </c:numRef>
          </c:xVal>
          <c:yVal>
            <c:numRef>
              <c:f>TestMoyenne!$T$97:$T$98</c:f>
              <c:numCache/>
            </c:numRef>
          </c:yVal>
          <c:smooth val="1"/>
        </c:ser>
        <c:ser>
          <c:idx val="58"/>
          <c:order val="38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TestMoyenne!$S$99:$S$100</c:f>
              <c:numCache/>
            </c:numRef>
          </c:xVal>
          <c:yVal>
            <c:numRef>
              <c:f>TestMoyenne!$T$99:$T$100</c:f>
              <c:numCache/>
            </c:numRef>
          </c:yVal>
          <c:smooth val="1"/>
        </c:ser>
        <c:ser>
          <c:idx val="59"/>
          <c:order val="39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TestMoyenne!$S$101:$S$102</c:f>
              <c:numCache/>
            </c:numRef>
          </c:xVal>
          <c:yVal>
            <c:numRef>
              <c:f>TestMoyenne!$T$101:$T$102</c:f>
              <c:numCache/>
            </c:numRef>
          </c:yVal>
          <c:smooth val="1"/>
        </c:ser>
        <c:ser>
          <c:idx val="60"/>
          <c:order val="4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TestMoyenne!$S$103:$S$104</c:f>
              <c:numCache/>
            </c:numRef>
          </c:xVal>
          <c:yVal>
            <c:numRef>
              <c:f>TestMoyenne!$T$103:$T$104</c:f>
              <c:numCache/>
            </c:numRef>
          </c:yVal>
          <c:smooth val="1"/>
        </c:ser>
        <c:ser>
          <c:idx val="20"/>
          <c:order val="41"/>
          <c:tx>
            <c:v>m0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m</a:t>
                    </a:r>
                    <a:r>
                      <a:rPr lang="en-US" cap="none" sz="1000" b="0" i="0" u="none" baseline="-25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TestMoyenne!$P$56:$P$57</c:f>
              <c:numCache/>
            </c:numRef>
          </c:xVal>
          <c:yVal>
            <c:numRef>
              <c:f>TestMoyenne!$Q$56:$Q$57</c:f>
              <c:numCache/>
            </c:numRef>
          </c:yVal>
          <c:smooth val="1"/>
        </c:ser>
        <c:ser>
          <c:idx val="21"/>
          <c:order val="42"/>
          <c:tx>
            <c:v>m1</c:v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9966"/>
                        </a:solidFill>
                      </a:rPr>
                      <a:t>m</a:t>
                    </a:r>
                    <a:r>
                      <a:rPr lang="en-US" cap="none" sz="1000" b="0" i="0" u="none" baseline="-25000">
                        <a:solidFill>
                          <a:srgbClr val="339966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TestMoyenne!$P$61:$P$62</c:f>
              <c:numCache/>
            </c:numRef>
          </c:xVal>
          <c:yVal>
            <c:numRef>
              <c:f>TestMoyenne!$Q$61:$Q$62</c:f>
              <c:numCache/>
            </c:numRef>
          </c:yVal>
          <c:smooth val="1"/>
        </c:ser>
        <c:ser>
          <c:idx val="52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TestMoyenne!$S$59</c:f>
              <c:numCache/>
            </c:numRef>
          </c:xVal>
          <c:yVal>
            <c:numRef>
              <c:f>TestMoyenne!$T$59</c:f>
              <c:numCache/>
            </c:numRef>
          </c:yVal>
          <c:smooth val="1"/>
        </c:ser>
        <c:ser>
          <c:idx val="0"/>
          <c:order val="44"/>
          <c:tx>
            <c:v>Distribution de Xb sous H0 vraie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TestMoyenne!$D$57:$D$97</c:f>
              <c:numCache/>
            </c:numRef>
          </c:xVal>
          <c:yVal>
            <c:numRef>
              <c:f>TestMoyenne!$E$57:$E$97</c:f>
              <c:numCache/>
            </c:numRef>
          </c:yVal>
          <c:smooth val="1"/>
        </c:ser>
        <c:axId val="25442955"/>
        <c:axId val="27660004"/>
      </c:scatterChart>
      <c:valAx>
        <c:axId val="25442955"/>
        <c:scaling>
          <c:orientation val="minMax"/>
          <c:min val="87.58814864518375"/>
        </c:scaling>
        <c:axPos val="b"/>
        <c:delete val="0"/>
        <c:numFmt formatCode="0.00" sourceLinked="0"/>
        <c:majorTickMark val="in"/>
        <c:minorTickMark val="none"/>
        <c:tickLblPos val="nextTo"/>
        <c:crossAx val="27660004"/>
        <c:crosses val="autoZero"/>
        <c:crossBetween val="midCat"/>
        <c:dispUnits/>
      </c:valAx>
      <c:valAx>
        <c:axId val="27660004"/>
        <c:scaling>
          <c:orientation val="minMax"/>
        </c:scaling>
        <c:axPos val="l"/>
        <c:delete val="1"/>
        <c:majorTickMark val="in"/>
        <c:minorTickMark val="none"/>
        <c:tickLblPos val="nextTo"/>
        <c:crossAx val="25442955"/>
        <c:crossesAt val="69.5204377204367"/>
        <c:crossBetween val="midCat"/>
        <c:dispUnits/>
      </c:valAx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63925"/>
          <c:y val="0.0175"/>
          <c:w val="0.36075"/>
          <c:h val="0.1965"/>
        </c:manualLayout>
      </c:layout>
      <c:overlay val="0"/>
    </c:legend>
    <c:plotVisOnly val="1"/>
    <c:dispBlanksAs val="gap"/>
    <c:showDLblsOverMax val="0"/>
  </c:chart>
  <c:spPr>
    <a:ln w="38100">
      <a:solidFill>
        <a:srgbClr val="3366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Efficacité du test</a:t>
            </a:r>
          </a:p>
        </c:rich>
      </c:tx>
      <c:layout>
        <c:manualLayout>
          <c:xMode val="factor"/>
          <c:yMode val="factor"/>
          <c:x val="0.361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0075"/>
        </c:manualLayout>
      </c:layout>
      <c:scatterChart>
        <c:scatterStyle val="smooth"/>
        <c:varyColors val="0"/>
        <c:ser>
          <c:idx val="0"/>
          <c:order val="0"/>
          <c:tx>
            <c:strRef>
              <c:f>'Graphe efficacité'!$B$11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efficacité'!$A$12:$A$72</c:f>
              <c:numCache>
                <c:ptCount val="61"/>
                <c:pt idx="0">
                  <c:v>93.10452702510209</c:v>
                </c:pt>
                <c:pt idx="1">
                  <c:v>93.44930067384698</c:v>
                </c:pt>
                <c:pt idx="2">
                  <c:v>93.79407432259187</c:v>
                </c:pt>
                <c:pt idx="3">
                  <c:v>94.13884797133676</c:v>
                </c:pt>
                <c:pt idx="4">
                  <c:v>94.48362162008165</c:v>
                </c:pt>
                <c:pt idx="5">
                  <c:v>94.82839526882654</c:v>
                </c:pt>
                <c:pt idx="6">
                  <c:v>95.17316891757143</c:v>
                </c:pt>
                <c:pt idx="7">
                  <c:v>95.51794256631632</c:v>
                </c:pt>
                <c:pt idx="8">
                  <c:v>95.86271621506121</c:v>
                </c:pt>
                <c:pt idx="9">
                  <c:v>96.2074898638061</c:v>
                </c:pt>
                <c:pt idx="10">
                  <c:v>96.552263512551</c:v>
                </c:pt>
                <c:pt idx="11">
                  <c:v>96.89703716129588</c:v>
                </c:pt>
                <c:pt idx="12">
                  <c:v>97.24181081004077</c:v>
                </c:pt>
                <c:pt idx="13">
                  <c:v>97.58658445878567</c:v>
                </c:pt>
                <c:pt idx="14">
                  <c:v>97.93135810753056</c:v>
                </c:pt>
                <c:pt idx="15">
                  <c:v>98.27613175627545</c:v>
                </c:pt>
                <c:pt idx="16">
                  <c:v>98.62090540502034</c:v>
                </c:pt>
                <c:pt idx="17">
                  <c:v>98.96567905376523</c:v>
                </c:pt>
                <c:pt idx="18">
                  <c:v>99.31045270251012</c:v>
                </c:pt>
                <c:pt idx="19">
                  <c:v>99.65522635125501</c:v>
                </c:pt>
                <c:pt idx="20">
                  <c:v>99.9999999999999</c:v>
                </c:pt>
                <c:pt idx="21">
                  <c:v>100.34477364874479</c:v>
                </c:pt>
                <c:pt idx="22">
                  <c:v>100.68954729748968</c:v>
                </c:pt>
                <c:pt idx="23">
                  <c:v>101.03432094623457</c:v>
                </c:pt>
                <c:pt idx="24">
                  <c:v>101.37909459497946</c:v>
                </c:pt>
                <c:pt idx="25">
                  <c:v>101.72386824372435</c:v>
                </c:pt>
                <c:pt idx="26">
                  <c:v>102.06864189246924</c:v>
                </c:pt>
                <c:pt idx="27">
                  <c:v>102.41341554121414</c:v>
                </c:pt>
                <c:pt idx="28">
                  <c:v>102.75818918995903</c:v>
                </c:pt>
                <c:pt idx="29">
                  <c:v>103.10296283870392</c:v>
                </c:pt>
                <c:pt idx="30">
                  <c:v>103.44773648744881</c:v>
                </c:pt>
                <c:pt idx="31">
                  <c:v>103.7925101361937</c:v>
                </c:pt>
                <c:pt idx="32">
                  <c:v>104.13728378493859</c:v>
                </c:pt>
                <c:pt idx="33">
                  <c:v>104.48205743368348</c:v>
                </c:pt>
                <c:pt idx="34">
                  <c:v>104.82683108242837</c:v>
                </c:pt>
                <c:pt idx="35">
                  <c:v>105.17160473117326</c:v>
                </c:pt>
                <c:pt idx="36">
                  <c:v>105.51637837991815</c:v>
                </c:pt>
                <c:pt idx="37">
                  <c:v>105.86115202866304</c:v>
                </c:pt>
                <c:pt idx="38">
                  <c:v>106.20592567740793</c:v>
                </c:pt>
                <c:pt idx="39">
                  <c:v>106.55069932615282</c:v>
                </c:pt>
                <c:pt idx="40">
                  <c:v>106.89547297489771</c:v>
                </c:pt>
                <c:pt idx="41">
                  <c:v>107.2402466236426</c:v>
                </c:pt>
                <c:pt idx="42">
                  <c:v>107.5850202723875</c:v>
                </c:pt>
                <c:pt idx="43">
                  <c:v>107.92979392113239</c:v>
                </c:pt>
                <c:pt idx="44">
                  <c:v>108.27456756987728</c:v>
                </c:pt>
                <c:pt idx="45">
                  <c:v>108.61934121862217</c:v>
                </c:pt>
                <c:pt idx="46">
                  <c:v>108.96411486736706</c:v>
                </c:pt>
                <c:pt idx="47">
                  <c:v>109.30888851611195</c:v>
                </c:pt>
                <c:pt idx="48">
                  <c:v>109.65366216485684</c:v>
                </c:pt>
                <c:pt idx="49">
                  <c:v>109.99843581360173</c:v>
                </c:pt>
                <c:pt idx="50">
                  <c:v>110.34320946234662</c:v>
                </c:pt>
                <c:pt idx="51">
                  <c:v>110.68798311109151</c:v>
                </c:pt>
                <c:pt idx="52">
                  <c:v>111.0327567598364</c:v>
                </c:pt>
                <c:pt idx="53">
                  <c:v>111.3775304085813</c:v>
                </c:pt>
                <c:pt idx="54">
                  <c:v>111.72230405732618</c:v>
                </c:pt>
                <c:pt idx="55">
                  <c:v>112.06707770607107</c:v>
                </c:pt>
                <c:pt idx="56">
                  <c:v>112.41185135481597</c:v>
                </c:pt>
                <c:pt idx="57">
                  <c:v>112.75662500356086</c:v>
                </c:pt>
                <c:pt idx="58">
                  <c:v>113.10139865230575</c:v>
                </c:pt>
                <c:pt idx="59">
                  <c:v>113.44617230105064</c:v>
                </c:pt>
                <c:pt idx="60">
                  <c:v>113.79094594979553</c:v>
                </c:pt>
              </c:numCache>
            </c:numRef>
          </c:xVal>
          <c:yVal>
            <c:numRef>
              <c:f>'Graphe efficacité'!$B$12:$B$72</c:f>
              <c:numCache>
                <c:ptCount val="61"/>
                <c:pt idx="0">
                  <c:v>0.0008439421653747559</c:v>
                </c:pt>
                <c:pt idx="1">
                  <c:v>0.0017261505126953125</c:v>
                </c:pt>
                <c:pt idx="2">
                  <c:v>0.003424525260925293</c:v>
                </c:pt>
                <c:pt idx="3">
                  <c:v>0.006572902202606201</c:v>
                </c:pt>
                <c:pt idx="4">
                  <c:v>0.01217353343963623</c:v>
                </c:pt>
                <c:pt idx="5">
                  <c:v>0.021703600883483887</c:v>
                </c:pt>
                <c:pt idx="6">
                  <c:v>0.0371670126914978</c:v>
                </c:pt>
                <c:pt idx="7">
                  <c:v>0.06102025508880615</c:v>
                </c:pt>
                <c:pt idx="8">
                  <c:v>0.09590250253677368</c:v>
                </c:pt>
                <c:pt idx="9">
                  <c:v>0.1441372036933899</c:v>
                </c:pt>
                <c:pt idx="10">
                  <c:v>0.2070608139038086</c:v>
                </c:pt>
                <c:pt idx="11">
                  <c:v>0.2843470573425293</c:v>
                </c:pt>
                <c:pt idx="12">
                  <c:v>0.3735727071762085</c:v>
                </c:pt>
                <c:pt idx="13">
                  <c:v>0.47025084495544434</c:v>
                </c:pt>
                <c:pt idx="14">
                  <c:v>0.5684160888195038</c:v>
                </c:pt>
                <c:pt idx="15">
                  <c:v>0.66162109375</c:v>
                </c:pt>
                <c:pt idx="16">
                  <c:v>0.744019627571106</c:v>
                </c:pt>
                <c:pt idx="17">
                  <c:v>0.8111656010150909</c:v>
                </c:pt>
                <c:pt idx="18">
                  <c:v>0.8602894172072411</c:v>
                </c:pt>
                <c:pt idx="19">
                  <c:v>0.8900519236922264</c:v>
                </c:pt>
                <c:pt idx="20">
                  <c:v>0.9000000804662704</c:v>
                </c:pt>
                <c:pt idx="21">
                  <c:v>0.8900519032031298</c:v>
                </c:pt>
                <c:pt idx="22">
                  <c:v>0.8602893687784672</c:v>
                </c:pt>
                <c:pt idx="23">
                  <c:v>0.8111656121909618</c:v>
                </c:pt>
                <c:pt idx="24">
                  <c:v>0.7440196089446545</c:v>
                </c:pt>
                <c:pt idx="25">
                  <c:v>0.6616210776846856</c:v>
                </c:pt>
                <c:pt idx="26">
                  <c:v>0.5684160650707781</c:v>
                </c:pt>
                <c:pt idx="27">
                  <c:v>0.47025086014764383</c:v>
                </c:pt>
                <c:pt idx="28">
                  <c:v>0.3735726933227852</c:v>
                </c:pt>
                <c:pt idx="29">
                  <c:v>0.2843470904190326</c:v>
                </c:pt>
                <c:pt idx="30">
                  <c:v>0.20706079039882752</c:v>
                </c:pt>
                <c:pt idx="31">
                  <c:v>0.1441372099907312</c:v>
                </c:pt>
                <c:pt idx="32">
                  <c:v>0.09590250449673476</c:v>
                </c:pt>
                <c:pt idx="33">
                  <c:v>0.06102020230173366</c:v>
                </c:pt>
                <c:pt idx="34">
                  <c:v>0.03716698226162407</c:v>
                </c:pt>
                <c:pt idx="35">
                  <c:v>0.021703634670814154</c:v>
                </c:pt>
                <c:pt idx="36">
                  <c:v>0.01217352204437816</c:v>
                </c:pt>
                <c:pt idx="37">
                  <c:v>0.0065729059122645594</c:v>
                </c:pt>
                <c:pt idx="38">
                  <c:v>0.0034245502998757615</c:v>
                </c:pt>
                <c:pt idx="39">
                  <c:v>0.0017261213601820202</c:v>
                </c:pt>
                <c:pt idx="40">
                  <c:v>0.0008439559779525041</c:v>
                </c:pt>
                <c:pt idx="41">
                  <c:v>0.0004013533441953321</c:v>
                </c:pt>
                <c:pt idx="42">
                  <c:v>0.00018615276375621992</c:v>
                </c:pt>
                <c:pt idx="43">
                  <c:v>8.443190141532719E-05</c:v>
                </c:pt>
                <c:pt idx="44">
                  <c:v>3.7546170421981495E-05</c:v>
                </c:pt>
                <c:pt idx="45">
                  <c:v>1.6410884159295813E-05</c:v>
                </c:pt>
                <c:pt idx="46">
                  <c:v>7.067088984718389E-06</c:v>
                </c:pt>
                <c:pt idx="47">
                  <c:v>3.0051789348065766E-06</c:v>
                </c:pt>
                <c:pt idx="48">
                  <c:v>1.2645625600609875E-06</c:v>
                </c:pt>
                <c:pt idx="49">
                  <c:v>5.276034048848181E-07</c:v>
                </c:pt>
                <c:pt idx="50">
                  <c:v>2.1865862208196585E-07</c:v>
                </c:pt>
                <c:pt idx="51">
                  <c:v>9.016744037553719E-08</c:v>
                </c:pt>
                <c:pt idx="52">
                  <c:v>3.705343436632004E-08</c:v>
                </c:pt>
                <c:pt idx="53">
                  <c:v>1.5195522466427943E-08</c:v>
                </c:pt>
                <c:pt idx="54">
                  <c:v>6.226840654322783E-09</c:v>
                </c:pt>
                <c:pt idx="55">
                  <c:v>2.552631831447959E-09</c:v>
                </c:pt>
                <c:pt idx="56">
                  <c:v>1.0479246725402023E-09</c:v>
                </c:pt>
                <c:pt idx="57">
                  <c:v>4.312207415766998E-10</c:v>
                </c:pt>
                <c:pt idx="58">
                  <c:v>1.7801618518818487E-10</c:v>
                </c:pt>
                <c:pt idx="59">
                  <c:v>7.377872316863922E-11</c:v>
                </c:pt>
                <c:pt idx="60">
                  <c:v>3.0718572591669886E-11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</a:rPr>
                      <a:t>m</a:t>
                    </a:r>
                    <a:r>
                      <a:rPr lang="en-US" cap="none" sz="800" b="0" i="0" u="none" baseline="-25000">
                        <a:solidFill>
                          <a:srgbClr val="339966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TestMoyenne!$M$47:$M$48</c:f>
              <c:numCache/>
            </c:numRef>
          </c:xVal>
          <c:yVal>
            <c:numRef>
              <c:f>TestMoyenne!$N$47:$N$48</c:f>
              <c:numCache/>
            </c:numRef>
          </c:yVal>
          <c:smooth val="1"/>
        </c:ser>
        <c:axId val="47613445"/>
        <c:axId val="25867822"/>
      </c:scatterChart>
      <c:valAx>
        <c:axId val="47613445"/>
        <c:scaling>
          <c:orientation val="minMax"/>
          <c:min val="91.7254324301225"/>
        </c:scaling>
        <c:axPos val="b"/>
        <c:delete val="0"/>
        <c:numFmt formatCode="General" sourceLinked="1"/>
        <c:majorTickMark val="in"/>
        <c:minorTickMark val="none"/>
        <c:tickLblPos val="nextTo"/>
        <c:crossAx val="25867822"/>
        <c:crosses val="autoZero"/>
        <c:crossBetween val="midCat"/>
        <c:dispUnits/>
      </c:valAx>
      <c:valAx>
        <c:axId val="25867822"/>
        <c:scaling>
          <c:orientation val="minMax"/>
          <c:max val="1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47613445"/>
        <c:crosses val="autoZero"/>
        <c:crossBetween val="midCat"/>
        <c:dispUnits/>
        <c:majorUnit val="0.2"/>
        <c:minorUnit val="0.1"/>
      </c:valAx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</c:plotArea>
    <c:plotVisOnly val="1"/>
    <c:dispBlanksAs val="gap"/>
    <c:showDLblsOverMax val="0"/>
  </c:chart>
  <c:spPr>
    <a:ln w="38100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Efficacité du 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6675"/>
          <c:w val="0.773"/>
          <c:h val="0.7055"/>
        </c:manualLayout>
      </c:layout>
      <c:scatterChart>
        <c:scatterStyle val="smooth"/>
        <c:varyColors val="0"/>
        <c:ser>
          <c:idx val="0"/>
          <c:order val="0"/>
          <c:tx>
            <c:strRef>
              <c:f>'Graphe efficacité'!$B$11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efficacité'!$A$12:$A$62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'Graphe efficacité'!$B$12:$B$62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axId val="31483807"/>
        <c:axId val="14918808"/>
      </c:scatterChart>
      <c:valAx>
        <c:axId val="3148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 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0.034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18808"/>
        <c:crosses val="autoZero"/>
        <c:crossBetween val="midCat"/>
        <c:dispUnits/>
      </c:valAx>
      <c:valAx>
        <c:axId val="149188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Prob. d'accepter H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483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180975</xdr:rowOff>
    </xdr:from>
    <xdr:to>
      <xdr:col>8</xdr:col>
      <xdr:colOff>133350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52400" y="180975"/>
          <a:ext cx="6543675" cy="408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171450</xdr:rowOff>
    </xdr:from>
    <xdr:to>
      <xdr:col>7</xdr:col>
      <xdr:colOff>123825</xdr:colOff>
      <xdr:row>15</xdr:row>
      <xdr:rowOff>200025</xdr:rowOff>
    </xdr:to>
    <xdr:sp macro="[0]!Feuille_Contexte">
      <xdr:nvSpPr>
        <xdr:cNvPr id="2" name="TextBox 2"/>
        <xdr:cNvSpPr txBox="1">
          <a:spLocks noChangeArrowheads="1"/>
        </xdr:cNvSpPr>
      </xdr:nvSpPr>
      <xdr:spPr>
        <a:xfrm>
          <a:off x="2200275" y="3105150"/>
          <a:ext cx="3724275" cy="238125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800000"/>
              </a:solidFill>
            </a:rPr>
            <a:t>Suivre ce lien pour des explications générales.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7</xdr:col>
      <xdr:colOff>123825</xdr:colOff>
      <xdr:row>18</xdr:row>
      <xdr:rowOff>47625</xdr:rowOff>
    </xdr:to>
    <xdr:sp macro="[0]!Feuille_TestMoyenne">
      <xdr:nvSpPr>
        <xdr:cNvPr id="3" name="TextBox 5"/>
        <xdr:cNvSpPr txBox="1">
          <a:spLocks noChangeArrowheads="1"/>
        </xdr:cNvSpPr>
      </xdr:nvSpPr>
      <xdr:spPr>
        <a:xfrm>
          <a:off x="2200275" y="3571875"/>
          <a:ext cx="3724275" cy="238125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800000"/>
              </a:solidFill>
            </a:rPr>
            <a:t>Suivre ce lien pour aller à la feuille TestMoyenne.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9</xdr:col>
      <xdr:colOff>371475</xdr:colOff>
      <xdr:row>27</xdr:row>
      <xdr:rowOff>19050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161925" y="104775"/>
          <a:ext cx="7067550" cy="42862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DDEEFF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3300"/>
              </a:solidFill>
              <a:latin typeface="AvantGarde"/>
              <a:ea typeface="AvantGarde"/>
              <a:cs typeface="AvantGarde"/>
            </a:rPr>
            <a:t>
</a:t>
          </a:r>
          <a:r>
            <a:rPr lang="en-US" cap="none" sz="1400" b="1" i="0" u="none" baseline="0">
              <a:solidFill>
                <a:srgbClr val="993366"/>
              </a:solidFill>
              <a:latin typeface="AvantGarde"/>
              <a:ea typeface="AvantGarde"/>
              <a:cs typeface="AvantGarde"/>
            </a:rPr>
            <a:t>         </a:t>
          </a:r>
          <a:r>
            <a:rPr lang="en-US" cap="none" sz="1400" b="1" i="1" u="none" baseline="0">
              <a:solidFill>
                <a:srgbClr val="993366"/>
              </a:solidFill>
              <a:latin typeface="AvantGarde"/>
              <a:ea typeface="AvantGarde"/>
              <a:cs typeface="AvantGarde"/>
            </a:rPr>
            <a:t>   </a:t>
          </a:r>
          <a:r>
            <a:rPr lang="en-US" cap="none" sz="1400" b="1" i="1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            Le test sur une moyenne et l'efficacité du test.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Ce classeur permet de visualiser l'efficacité d'un test en faisant varier la moyenne réelle de la variable à l'étude.
        Il y a deux contextes statistiques possibles: 
                </a:t>
          </a:r>
          <a:r>
            <a:rPr lang="en-US" cap="none" sz="1200" b="0" i="0" u="sng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Contexte 1</a:t>
          </a:r>
          <a:r>
            <a:rPr lang="en-US" cap="none" sz="1200" b="0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:  le contexte "pédagogique", c'est-à-dire:</a:t>
          </a:r>
          <a:r>
            <a:rPr lang="en-US" cap="none" sz="1200" b="1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
        </a:t>
          </a:r>
          <a:r>
            <a:rPr lang="en-US" cap="none" sz="1200" b="0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on suppose que l'écart-type dans la population est connu et que la variable X est distribuée
        normalement dans la population. La moyenne d'échantillon est donc distribuée selon une loi
        normale.
                </a:t>
          </a:r>
          <a:r>
            <a:rPr lang="en-US" cap="none" sz="1200" b="0" i="0" u="sng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Contexte 2</a:t>
          </a:r>
          <a:r>
            <a:rPr lang="en-US" cap="none" sz="1200" b="0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:  le contexte réel, c'est -à-dire:
        l'écart-type dans la population est inconnu. La distribution de l'écart-réduit de la moyenne de
        l'échantillon est  alors une loi de Student dans les deux cas suivants:
                Taille de l'échantillon plus petite que 30 et la variable X est distribuée normalement
                        ou
                taille de l'échantillon supérieure ou égale à 30, distribution quelconque de X.
</a:t>
          </a:r>
        </a:p>
      </xdr:txBody>
    </xdr:sp>
    <xdr:clientData/>
  </xdr:twoCellAnchor>
  <xdr:twoCellAnchor>
    <xdr:from>
      <xdr:col>0</xdr:col>
      <xdr:colOff>161925</xdr:colOff>
      <xdr:row>80</xdr:row>
      <xdr:rowOff>38100</xdr:rowOff>
    </xdr:from>
    <xdr:to>
      <xdr:col>8</xdr:col>
      <xdr:colOff>695325</xdr:colOff>
      <xdr:row>92</xdr:row>
      <xdr:rowOff>133350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61925" y="12992100"/>
          <a:ext cx="6629400" cy="20383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DDEEFF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        
                                                        </a:t>
          </a:r>
          <a:r>
            <a:rPr lang="en-US" cap="none" sz="1400" b="0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Réalisation du classeur.</a:t>
          </a:r>
          <a:r>
            <a:rPr lang="en-US" cap="none" sz="1200" b="0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
La conception et la réalisation de ce classeur sont de Claude Blais, chargé d'enseignement à l'École de technologie supérieure.
Dernières modifications: mars 2000.</a:t>
          </a:r>
        </a:p>
      </xdr:txBody>
    </xdr:sp>
    <xdr:clientData/>
  </xdr:twoCellAnchor>
  <xdr:twoCellAnchor>
    <xdr:from>
      <xdr:col>6</xdr:col>
      <xdr:colOff>352425</xdr:colOff>
      <xdr:row>88</xdr:row>
      <xdr:rowOff>95250</xdr:rowOff>
    </xdr:from>
    <xdr:to>
      <xdr:col>7</xdr:col>
      <xdr:colOff>571500</xdr:colOff>
      <xdr:row>91</xdr:row>
      <xdr:rowOff>133350</xdr:rowOff>
    </xdr:to>
    <xdr:sp macro="[0]!Retour">
      <xdr:nvSpPr>
        <xdr:cNvPr id="3" name="TextBox 10"/>
        <xdr:cNvSpPr txBox="1">
          <a:spLocks noChangeArrowheads="1"/>
        </xdr:cNvSpPr>
      </xdr:nvSpPr>
      <xdr:spPr>
        <a:xfrm>
          <a:off x="4924425" y="14344650"/>
          <a:ext cx="9810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Book Antiqua"/>
              <a:ea typeface="Book Antiqua"/>
              <a:cs typeface="Book Antiqua"/>
            </a:rPr>
            <a:t>RETOUR</a:t>
          </a:r>
        </a:p>
      </xdr:txBody>
    </xdr:sp>
    <xdr:clientData/>
  </xdr:twoCellAnchor>
  <xdr:twoCellAnchor>
    <xdr:from>
      <xdr:col>6</xdr:col>
      <xdr:colOff>0</xdr:colOff>
      <xdr:row>23</xdr:row>
      <xdr:rowOff>57150</xdr:rowOff>
    </xdr:from>
    <xdr:to>
      <xdr:col>7</xdr:col>
      <xdr:colOff>57150</xdr:colOff>
      <xdr:row>24</xdr:row>
      <xdr:rowOff>133350</xdr:rowOff>
    </xdr:to>
    <xdr:sp macro="[0]!A_propos">
      <xdr:nvSpPr>
        <xdr:cNvPr id="4" name="TextBox 11"/>
        <xdr:cNvSpPr txBox="1">
          <a:spLocks noChangeArrowheads="1"/>
        </xdr:cNvSpPr>
      </xdr:nvSpPr>
      <xdr:spPr>
        <a:xfrm>
          <a:off x="4572000" y="3781425"/>
          <a:ext cx="819150" cy="238125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800000"/>
              </a:solidFill>
            </a:rPr>
            <a:t>À propos ...</a:t>
          </a:r>
        </a:p>
      </xdr:txBody>
    </xdr:sp>
    <xdr:clientData/>
  </xdr:twoCellAnchor>
  <xdr:twoCellAnchor>
    <xdr:from>
      <xdr:col>2</xdr:col>
      <xdr:colOff>276225</xdr:colOff>
      <xdr:row>23</xdr:row>
      <xdr:rowOff>66675</xdr:rowOff>
    </xdr:from>
    <xdr:to>
      <xdr:col>5</xdr:col>
      <xdr:colOff>342900</xdr:colOff>
      <xdr:row>24</xdr:row>
      <xdr:rowOff>142875</xdr:rowOff>
    </xdr:to>
    <xdr:sp macro="[0]!Feuille_TestMoyenne">
      <xdr:nvSpPr>
        <xdr:cNvPr id="5" name="TextBox 12"/>
        <xdr:cNvSpPr txBox="1">
          <a:spLocks noChangeArrowheads="1"/>
        </xdr:cNvSpPr>
      </xdr:nvSpPr>
      <xdr:spPr>
        <a:xfrm>
          <a:off x="1800225" y="3790950"/>
          <a:ext cx="2352675" cy="238125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solidFill>
                <a:srgbClr val="800000"/>
              </a:solidFill>
            </a:rPr>
            <a:t>Aller à la feuille TestMoyenne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0.0685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28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b(m</a:t>
          </a:r>
          <a:r>
            <a:rPr lang="en-US" cap="none" sz="800" b="1" i="0" u="none" baseline="-25000">
              <a:solidFill>
                <a:srgbClr val="FF0000"/>
              </a:solidFill>
              <a:latin typeface="Symbol"/>
              <a:ea typeface="Symbol"/>
              <a:cs typeface="Symbol"/>
            </a:rPr>
            <a:t>1</a:t>
          </a:r>
          <a:r>
            <a:rPr lang="en-US" cap="none" sz="8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409575</xdr:colOff>
      <xdr:row>6</xdr:row>
      <xdr:rowOff>76200</xdr:rowOff>
    </xdr:from>
    <xdr:to>
      <xdr:col>15</xdr:col>
      <xdr:colOff>504825</xdr:colOff>
      <xdr:row>23</xdr:row>
      <xdr:rowOff>76200</xdr:rowOff>
    </xdr:to>
    <xdr:graphicFrame>
      <xdr:nvGraphicFramePr>
        <xdr:cNvPr id="1" name="Chart 4"/>
        <xdr:cNvGraphicFramePr/>
      </xdr:nvGraphicFramePr>
      <xdr:xfrm>
        <a:off x="1552575" y="1162050"/>
        <a:ext cx="6238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400050</xdr:colOff>
      <xdr:row>23</xdr:row>
      <xdr:rowOff>152400</xdr:rowOff>
    </xdr:from>
    <xdr:to>
      <xdr:col>15</xdr:col>
      <xdr:colOff>504825</xdr:colOff>
      <xdr:row>36</xdr:row>
      <xdr:rowOff>95250</xdr:rowOff>
    </xdr:to>
    <xdr:graphicFrame>
      <xdr:nvGraphicFramePr>
        <xdr:cNvPr id="2" name="Chart 11"/>
        <xdr:cNvGraphicFramePr/>
      </xdr:nvGraphicFramePr>
      <xdr:xfrm>
        <a:off x="1543050" y="4057650"/>
        <a:ext cx="6248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47625</xdr:rowOff>
    </xdr:from>
    <xdr:to>
      <xdr:col>3</xdr:col>
      <xdr:colOff>142875</xdr:colOff>
      <xdr:row>25</xdr:row>
      <xdr:rowOff>9525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590550" y="41243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285750</xdr:colOff>
      <xdr:row>5</xdr:row>
      <xdr:rowOff>152400</xdr:rowOff>
    </xdr:from>
    <xdr:to>
      <xdr:col>8</xdr:col>
      <xdr:colOff>28575</xdr:colOff>
      <xdr:row>7</xdr:row>
      <xdr:rowOff>47625</xdr:rowOff>
    </xdr:to>
    <xdr:sp macro="[0]!AjusterGraphe">
      <xdr:nvSpPr>
        <xdr:cNvPr id="4" name="TextBox 14"/>
        <xdr:cNvSpPr txBox="1">
          <a:spLocks noChangeArrowheads="1"/>
        </xdr:cNvSpPr>
      </xdr:nvSpPr>
      <xdr:spPr>
        <a:xfrm>
          <a:off x="1428750" y="1057275"/>
          <a:ext cx="1362075" cy="247650"/>
        </a:xfrm>
        <a:prstGeom prst="rect">
          <a:avLst/>
        </a:prstGeom>
        <a:gradFill rotWithShape="1">
          <a:gsLst>
            <a:gs pos="0">
              <a:srgbClr val="D3E9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/>
            <a:t>Redessiner le graphe</a:t>
          </a:r>
        </a:p>
      </xdr:txBody>
    </xdr:sp>
    <xdr:clientData/>
  </xdr:twoCellAnchor>
  <xdr:twoCellAnchor>
    <xdr:from>
      <xdr:col>14</xdr:col>
      <xdr:colOff>57150</xdr:colOff>
      <xdr:row>1</xdr:row>
      <xdr:rowOff>0</xdr:rowOff>
    </xdr:from>
    <xdr:to>
      <xdr:col>15</xdr:col>
      <xdr:colOff>114300</xdr:colOff>
      <xdr:row>2</xdr:row>
      <xdr:rowOff>66675</xdr:rowOff>
    </xdr:to>
    <xdr:sp macro="[0]!A_propos">
      <xdr:nvSpPr>
        <xdr:cNvPr id="5" name="TextBox 31"/>
        <xdr:cNvSpPr txBox="1">
          <a:spLocks noChangeArrowheads="1"/>
        </xdr:cNvSpPr>
      </xdr:nvSpPr>
      <xdr:spPr>
        <a:xfrm>
          <a:off x="6581775" y="171450"/>
          <a:ext cx="819150" cy="238125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800000"/>
              </a:solidFill>
            </a:rPr>
            <a:t>À propos 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95250</xdr:rowOff>
    </xdr:from>
    <xdr:to>
      <xdr:col>8</xdr:col>
      <xdr:colOff>514350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2438400" y="95250"/>
        <a:ext cx="4171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oc.%20uniformis&#233;s\Doc.%20uniformis&#233;s\ComparaisonBinHy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À propos"/>
      <sheetName val="Comparaison animée"/>
    </sheetNames>
    <sheetDataSet>
      <sheetData sheetId="1">
        <row r="10">
          <cell r="F10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J1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3.421875" style="81" customWidth="1"/>
    <col min="2" max="2" width="11.421875" style="81" customWidth="1"/>
    <col min="3" max="3" width="18.00390625" style="81" customWidth="1"/>
    <col min="4" max="4" width="19.8515625" style="81" bestFit="1" customWidth="1"/>
    <col min="5" max="16384" width="11.421875" style="81" customWidth="1"/>
  </cols>
  <sheetData>
    <row r="1" spans="1:10" ht="16.5">
      <c r="A1" s="78"/>
      <c r="B1" s="79"/>
      <c r="C1" s="79"/>
      <c r="D1" s="79"/>
      <c r="E1" s="79"/>
      <c r="F1" s="79"/>
      <c r="G1" s="79"/>
      <c r="H1" s="79"/>
      <c r="I1" s="79"/>
      <c r="J1" s="80"/>
    </row>
    <row r="2" spans="1:10" ht="16.5">
      <c r="A2" s="79"/>
      <c r="B2" s="79"/>
      <c r="C2" s="79"/>
      <c r="D2" s="79"/>
      <c r="E2" s="79"/>
      <c r="F2" s="79"/>
      <c r="G2" s="79"/>
      <c r="H2" s="79"/>
      <c r="I2" s="79"/>
      <c r="J2" s="80"/>
    </row>
    <row r="3" spans="1:10" ht="16.5">
      <c r="A3" s="79"/>
      <c r="B3" s="82" t="s">
        <v>38</v>
      </c>
      <c r="C3" s="79"/>
      <c r="D3" s="83" t="s">
        <v>46</v>
      </c>
      <c r="E3" s="83"/>
      <c r="F3" s="83"/>
      <c r="G3" s="84"/>
      <c r="H3" s="84"/>
      <c r="I3" s="79"/>
      <c r="J3" s="80"/>
    </row>
    <row r="4" spans="1:10" ht="16.5">
      <c r="A4" s="79"/>
      <c r="B4" s="85"/>
      <c r="C4" s="79"/>
      <c r="D4" s="79"/>
      <c r="E4" s="79"/>
      <c r="F4" s="79"/>
      <c r="G4" s="79"/>
      <c r="H4" s="79"/>
      <c r="I4" s="79"/>
      <c r="J4" s="80"/>
    </row>
    <row r="5" spans="1:10" ht="16.5">
      <c r="A5" s="79"/>
      <c r="B5" s="82" t="s">
        <v>39</v>
      </c>
      <c r="C5" s="79"/>
      <c r="D5" s="83" t="s">
        <v>40</v>
      </c>
      <c r="E5" s="83"/>
      <c r="F5" s="83"/>
      <c r="G5" s="84"/>
      <c r="H5" s="84"/>
      <c r="I5" s="79"/>
      <c r="J5" s="80"/>
    </row>
    <row r="6" spans="1:10" ht="16.5">
      <c r="A6" s="79"/>
      <c r="B6" s="85"/>
      <c r="C6" s="79"/>
      <c r="D6" s="85" t="s">
        <v>41</v>
      </c>
      <c r="E6" s="79"/>
      <c r="F6" s="79"/>
      <c r="G6" s="79"/>
      <c r="H6" s="79"/>
      <c r="I6" s="79"/>
      <c r="J6" s="80"/>
    </row>
    <row r="7" spans="1:10" ht="16.5">
      <c r="A7" s="79"/>
      <c r="I7" s="79"/>
      <c r="J7" s="80"/>
    </row>
    <row r="8" spans="1:10" ht="16.5">
      <c r="A8" s="79"/>
      <c r="B8" s="82" t="s">
        <v>42</v>
      </c>
      <c r="C8" s="79"/>
      <c r="D8" s="86" t="s">
        <v>45</v>
      </c>
      <c r="E8" s="83"/>
      <c r="F8" s="83"/>
      <c r="G8" s="84"/>
      <c r="H8" s="84"/>
      <c r="I8" s="79"/>
      <c r="J8" s="80"/>
    </row>
    <row r="9" spans="1:10" ht="16.5">
      <c r="A9" s="79"/>
      <c r="B9" s="85"/>
      <c r="C9" s="79"/>
      <c r="D9" s="79"/>
      <c r="E9" s="79"/>
      <c r="F9" s="79"/>
      <c r="G9" s="79"/>
      <c r="H9" s="79"/>
      <c r="I9" s="79"/>
      <c r="J9" s="80"/>
    </row>
    <row r="10" spans="1:10" ht="16.5">
      <c r="A10" s="79"/>
      <c r="B10" s="82" t="s">
        <v>43</v>
      </c>
      <c r="D10" s="86">
        <v>36861</v>
      </c>
      <c r="E10" s="83"/>
      <c r="F10" s="83"/>
      <c r="G10" s="87"/>
      <c r="H10" s="87"/>
      <c r="I10" s="79"/>
      <c r="J10" s="80"/>
    </row>
    <row r="11" spans="1:10" ht="16.5">
      <c r="A11" s="79"/>
      <c r="I11" s="79"/>
      <c r="J11" s="80"/>
    </row>
    <row r="12" spans="1:10" ht="16.5">
      <c r="A12" s="79"/>
      <c r="B12" s="82" t="s">
        <v>44</v>
      </c>
      <c r="C12" s="79"/>
      <c r="D12" s="83" t="s">
        <v>47</v>
      </c>
      <c r="E12" s="83"/>
      <c r="F12" s="83"/>
      <c r="G12" s="83"/>
      <c r="H12" s="83"/>
      <c r="I12" s="79"/>
      <c r="J12" s="80"/>
    </row>
    <row r="13" spans="1:10" ht="16.5">
      <c r="A13" s="79"/>
      <c r="B13" s="85"/>
      <c r="C13" s="79"/>
      <c r="D13" s="83" t="s">
        <v>48</v>
      </c>
      <c r="E13" s="83"/>
      <c r="F13" s="83"/>
      <c r="G13" s="83"/>
      <c r="H13" s="83"/>
      <c r="I13" s="79"/>
      <c r="J13" s="80"/>
    </row>
    <row r="14" spans="1:10" ht="16.5">
      <c r="A14" s="79"/>
      <c r="B14" s="85"/>
      <c r="C14" s="79"/>
      <c r="D14" s="83" t="s">
        <v>49</v>
      </c>
      <c r="E14" s="88"/>
      <c r="F14" s="88"/>
      <c r="G14" s="89"/>
      <c r="H14" s="83"/>
      <c r="I14" s="79"/>
      <c r="J14" s="80"/>
    </row>
    <row r="15" spans="1:10" ht="16.5">
      <c r="A15" s="79"/>
      <c r="B15" s="85"/>
      <c r="C15" s="79"/>
      <c r="D15" s="90"/>
      <c r="E15" s="91"/>
      <c r="F15" s="91"/>
      <c r="G15" s="92"/>
      <c r="H15" s="90"/>
      <c r="I15" s="79"/>
      <c r="J15" s="80"/>
    </row>
    <row r="16" spans="1:10" ht="16.5">
      <c r="A16" s="79"/>
      <c r="B16" s="85"/>
      <c r="C16" s="79"/>
      <c r="D16" s="93"/>
      <c r="E16" s="93"/>
      <c r="F16" s="93"/>
      <c r="G16" s="94"/>
      <c r="H16" s="90"/>
      <c r="I16" s="79"/>
      <c r="J16" s="80"/>
    </row>
    <row r="17" spans="1:10" ht="16.5">
      <c r="A17" s="80"/>
      <c r="B17" s="79"/>
      <c r="C17" s="79"/>
      <c r="D17" s="90"/>
      <c r="E17" s="90"/>
      <c r="F17" s="90"/>
      <c r="G17" s="90"/>
      <c r="H17" s="90"/>
      <c r="I17" s="80"/>
      <c r="J17" s="80"/>
    </row>
    <row r="18" spans="2:8" ht="15.75">
      <c r="B18" s="80"/>
      <c r="C18" s="80"/>
      <c r="D18" s="80"/>
      <c r="E18" s="80"/>
      <c r="F18" s="80"/>
      <c r="G18" s="80"/>
      <c r="H18" s="80"/>
    </row>
    <row r="19" ht="12.75"/>
    <row r="20" ht="12.75"/>
    <row r="21" ht="12.75"/>
  </sheetData>
  <printOptions/>
  <pageMargins left="0.75" right="0.75" top="1" bottom="1" header="0.4921259845" footer="0.492125984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C62:F63"/>
  <sheetViews>
    <sheetView showGridLines="0" showRowColHeaders="0" workbookViewId="0" topLeftCell="A1">
      <selection activeCell="J32" sqref="J32"/>
    </sheetView>
  </sheetViews>
  <sheetFormatPr defaultColWidth="11.421875" defaultRowHeight="12.75"/>
  <sheetData>
    <row r="62" spans="3:6" ht="12.75">
      <c r="C62" s="95"/>
      <c r="D62" s="95"/>
      <c r="F62" s="69"/>
    </row>
    <row r="63" ht="12.75">
      <c r="F63" s="69"/>
    </row>
  </sheetData>
  <mergeCells count="1">
    <mergeCell ref="C62:D6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B1:X104"/>
  <sheetViews>
    <sheetView showGridLines="0" showRowColHeaders="0" tabSelected="1" workbookViewId="0" topLeftCell="A1">
      <selection activeCell="D31" sqref="D31"/>
    </sheetView>
  </sheetViews>
  <sheetFormatPr defaultColWidth="11.421875" defaultRowHeight="12.75"/>
  <cols>
    <col min="1" max="1" width="0.9921875" style="0" customWidth="1"/>
    <col min="2" max="3" width="4.7109375" style="0" customWidth="1"/>
    <col min="4" max="4" width="6.7109375" style="0" customWidth="1"/>
    <col min="5" max="5" width="10.7109375" style="0" bestFit="1" customWidth="1"/>
    <col min="6" max="6" width="7.57421875" style="0" customWidth="1"/>
    <col min="7" max="9" width="3.00390625" style="0" customWidth="1"/>
    <col min="10" max="10" width="7.7109375" style="0" customWidth="1"/>
  </cols>
  <sheetData>
    <row r="1" spans="2:23" ht="13.5" thickBo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2:23" ht="13.5" thickBot="1">
      <c r="B2" s="22" t="s">
        <v>52</v>
      </c>
      <c r="C2" s="21"/>
      <c r="D2" s="21"/>
      <c r="E2" s="21"/>
      <c r="F2" s="102"/>
      <c r="G2" s="102"/>
      <c r="H2" s="102"/>
      <c r="I2" s="102"/>
      <c r="J2" s="102"/>
      <c r="K2" s="23" t="s">
        <v>28</v>
      </c>
      <c r="L2" s="24" t="s">
        <v>0</v>
      </c>
      <c r="M2" s="25" t="s">
        <v>1</v>
      </c>
      <c r="N2" s="26" t="s">
        <v>2</v>
      </c>
      <c r="O2" s="21"/>
      <c r="P2" s="21"/>
      <c r="Q2" s="21"/>
      <c r="R2" s="21"/>
      <c r="S2" s="21"/>
      <c r="T2" s="21"/>
      <c r="U2" s="21"/>
      <c r="V2" s="21"/>
      <c r="W2" s="21"/>
    </row>
    <row r="3" spans="2:23" ht="16.5" thickTop="1">
      <c r="B3" s="27" t="s">
        <v>53</v>
      </c>
      <c r="C3" s="28" t="s">
        <v>6</v>
      </c>
      <c r="D3" s="29">
        <f>mu0</f>
        <v>100</v>
      </c>
      <c r="E3" s="21"/>
      <c r="F3" s="96" t="s">
        <v>54</v>
      </c>
      <c r="G3" s="97"/>
      <c r="H3" s="97"/>
      <c r="I3" s="97"/>
      <c r="J3" s="98"/>
      <c r="K3" s="30" t="s">
        <v>3</v>
      </c>
      <c r="L3" s="31" t="s">
        <v>3</v>
      </c>
      <c r="M3" s="32" t="s">
        <v>32</v>
      </c>
      <c r="N3" s="33" t="s">
        <v>5</v>
      </c>
      <c r="O3" s="21"/>
      <c r="P3" s="21"/>
      <c r="Q3" s="21"/>
      <c r="R3" s="21"/>
      <c r="S3" s="21"/>
      <c r="T3" s="21"/>
      <c r="U3" s="21"/>
      <c r="V3" s="21"/>
      <c r="W3" s="21"/>
    </row>
    <row r="4" spans="2:23" ht="13.5" thickBot="1">
      <c r="B4" s="34" t="s">
        <v>55</v>
      </c>
      <c r="C4" s="35" t="str">
        <f>IF(nature="bi","m ¹",IF(nature="gauche","m  &lt; ",IF(nature="droite","m  &gt; ","")))</f>
        <v>m ¹</v>
      </c>
      <c r="D4" s="36">
        <f>mu0</f>
        <v>100</v>
      </c>
      <c r="E4" s="21"/>
      <c r="F4" s="99" t="s">
        <v>56</v>
      </c>
      <c r="G4" s="100"/>
      <c r="H4" s="100"/>
      <c r="I4" s="100"/>
      <c r="J4" s="101"/>
      <c r="K4" s="21"/>
      <c r="L4" s="37">
        <f>mu0-(2.9*etxbarre)/10*(20-anim)</f>
        <v>98.00031283727961</v>
      </c>
      <c r="M4" s="38">
        <f>IF(contexte=1,IF(nature="gauche",1-NORMDIST(point_crit_1,mu_1,etxbarre,1),IF(nature="droite",NORMDIST(point_crit_2,mu_1,etxbarre,1),NORMDIST(point_crit_2,mu_1,etxbarre,1)-NORMDIST(point_crit_1,mu_1,etxbarre,1))),IF(nature="gauche",1-Student((point_crit_1-mu_1)/etxbarre,n-1,1),IF(nature="droite",Student((point_crit_2-mu_1)/etxbarre,n-1,1),Student((point_crit_2-mu_1)/etxbarre,n-1,1)-Student((point_crit_1-mu_1)/etxbarre,n-1,1))))</f>
        <v>0.5876559913158417</v>
      </c>
      <c r="N4" s="39">
        <f>1-M4</f>
        <v>0.4123440086841583</v>
      </c>
      <c r="O4" s="21"/>
      <c r="P4" s="21"/>
      <c r="Q4" s="21"/>
      <c r="R4" s="21"/>
      <c r="S4" s="21"/>
      <c r="T4" s="21"/>
      <c r="U4" s="21"/>
      <c r="V4" s="21"/>
      <c r="W4" s="21"/>
    </row>
    <row r="5" spans="2:23" ht="14.25" thickBot="1" thickTop="1">
      <c r="B5" s="21"/>
      <c r="C5" s="21"/>
      <c r="D5" s="21"/>
      <c r="E5" s="21"/>
      <c r="F5" s="40">
        <f>IF(OR(nature="gauche",nature="bi"),mu0-zalpha*etxbarre,"")</f>
        <v>97.68787727042844</v>
      </c>
      <c r="G5" s="41" t="str">
        <f>IF(OR(nature="gauche",nature="bi"),"&lt;","")</f>
        <v>&lt;</v>
      </c>
      <c r="H5" s="42"/>
      <c r="I5" s="41" t="str">
        <f>IF(OR(nature="droite",nature="bi"),"&lt;","")</f>
        <v>&lt;</v>
      </c>
      <c r="J5" s="43">
        <f>IF(OR(nature="droite",nature="bi"),mu0+zalpha*etxbarre,"")</f>
        <v>102.31212272957156</v>
      </c>
      <c r="K5" s="21"/>
      <c r="L5" s="4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2:23" ht="14.25" thickBot="1">
      <c r="B6" s="21"/>
      <c r="C6" s="45" t="s">
        <v>29</v>
      </c>
      <c r="D6" s="21"/>
      <c r="E6" s="21"/>
      <c r="F6" s="21"/>
      <c r="G6" s="21"/>
      <c r="H6" s="21"/>
      <c r="I6" s="21"/>
      <c r="J6" s="21"/>
      <c r="K6" s="46"/>
      <c r="L6" s="20">
        <v>95</v>
      </c>
      <c r="M6" s="38">
        <f>IF(contexte=1,IF(nature="gauche",1-NORMDIST(point_crit_1,mu2,etxbarre,1),IF(nature="droite",NORMDIST(point_crit_2,mu2,etxbarre,1),NORMDIST(point_crit_2,mu2,etxbarre,1)-NORMDIST(point_crit_1,mu2,etxbarre,1))),IF(nature="gauche",1-Student((point_crit_1-mu2)/etxbarre,n-1,1),IF(nature="droite",Student((point_crit_2-mu2)/etxbarre,n-1,1),Student((point_crit_2-mu2)/etxbarre,n-1,1)-Student((point_crit_1-mu2)/etxbarre,n-1,1))))</f>
        <v>0.028513848781585693</v>
      </c>
      <c r="N6" s="47">
        <f>1-M6</f>
        <v>0.9714861512184143</v>
      </c>
      <c r="O6" s="77">
        <v>0.9</v>
      </c>
      <c r="P6" s="21"/>
      <c r="Q6" s="21"/>
      <c r="R6" s="21"/>
      <c r="S6" s="21"/>
      <c r="T6" s="21"/>
      <c r="U6" s="21"/>
      <c r="V6" s="21"/>
      <c r="W6" s="21"/>
    </row>
    <row r="7" spans="2:23" ht="13.5" thickBot="1">
      <c r="B7" s="21"/>
      <c r="C7" s="48"/>
      <c r="D7" s="68" t="str">
        <f>IF(cas=1,"gauche",IF(cas=2,"bi",IF(cas=3,"droite","à préciser")))</f>
        <v>bi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2:23" ht="12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5.75">
      <c r="B9" s="21"/>
      <c r="C9" s="49" t="s">
        <v>7</v>
      </c>
      <c r="D9" s="18">
        <v>100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2:23" ht="12.75">
      <c r="B10" s="21"/>
      <c r="C10" s="50" t="s">
        <v>8</v>
      </c>
      <c r="D10" s="19">
        <v>0.1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2:23" ht="12.75">
      <c r="B11" s="21"/>
      <c r="C11" s="52" t="s">
        <v>9</v>
      </c>
      <c r="D11" s="18">
        <v>50</v>
      </c>
      <c r="E11" s="21"/>
      <c r="F11" s="21"/>
      <c r="G11" s="21"/>
      <c r="H11" s="21"/>
      <c r="I11" s="21"/>
      <c r="J11" s="21"/>
      <c r="K11" s="21"/>
      <c r="L11" s="5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2:23" ht="12.75">
      <c r="B12" s="21"/>
      <c r="C12" s="52" t="s">
        <v>10</v>
      </c>
      <c r="D12" s="18">
        <v>1000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 ht="12.75">
      <c r="B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2:23" ht="12.7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2:23" ht="13.5">
      <c r="B15" s="64"/>
      <c r="C15" s="63" t="s">
        <v>30</v>
      </c>
      <c r="D15" s="18">
        <v>10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 t="s">
        <v>37</v>
      </c>
      <c r="S15" s="21"/>
      <c r="T15" s="21"/>
      <c r="U15" s="21"/>
      <c r="V15" s="21"/>
      <c r="W15" s="21"/>
    </row>
    <row r="16" spans="2:23" ht="12.75">
      <c r="B16" s="70"/>
      <c r="C16" s="71"/>
      <c r="D16" s="7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 ht="13.5">
      <c r="B17" s="70"/>
      <c r="C17" s="72" t="s">
        <v>31</v>
      </c>
      <c r="D17" s="7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5:23" ht="12.75"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5:23" ht="12.75"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2:23" ht="12.75">
      <c r="B20" s="66" t="str">
        <f>IF(contexte=1,"Contexte de loi normale","Contexte de loi Student")</f>
        <v>Contexte de loi Student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2:23" ht="12.75">
      <c r="B21" s="67">
        <f>IF(contexte=1,"On doit supposer X",IF(AND(contexte=2,n&lt;30),"On doit supposer X",""))</f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2:23" ht="12.75">
      <c r="B22" s="67">
        <f>IF(contexte=1,"dist. Normalement",IF(AND(contexte=2,n&lt;30),"dist. Normalement",""))</f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5:23" ht="12.75"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5:23" ht="13.5" thickBot="1"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2:23" ht="18.75">
      <c r="B25" s="62" t="str">
        <f>IF(contexte=1,"z","t")</f>
        <v>t</v>
      </c>
      <c r="C25" s="53" t="str">
        <f>IF(nature="bi","a/2","a")</f>
        <v>a/2</v>
      </c>
      <c r="D25" s="54">
        <f>IF(contexte=2,IF(nature="bi",StudentInv(1-alpha/2,n-1),StudentInv(1-alpha,n-1)),IF(nature="bi",NORMSINV(1-alpha/2),NORMSINV(1-alpha)))</f>
        <v>1.6765512228012085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 ht="12.75">
      <c r="B26" s="55"/>
      <c r="C26" s="56"/>
      <c r="D26" s="57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 ht="15">
      <c r="B27" s="55"/>
      <c r="C27" s="58"/>
      <c r="D27" s="65">
        <f>IF(npop="inf",SQRT(sigma^2/n),SQRT(sigma^2/n*(npop-n)/(npop-1)))</f>
        <v>1.3790945949795836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2:23" ht="13.5" thickBot="1">
      <c r="B28" s="59"/>
      <c r="C28" s="60"/>
      <c r="D28" s="6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2:23" ht="12.7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2:23" ht="12.7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2:23" ht="12.7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2:23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2:23" ht="12.75">
      <c r="B33" s="21"/>
      <c r="C33" s="21"/>
      <c r="E33" s="21"/>
      <c r="F33" s="21"/>
      <c r="G33" s="21"/>
      <c r="H33" s="21"/>
      <c r="I33" s="21"/>
      <c r="J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2:23" ht="12.75">
      <c r="B34" s="21"/>
      <c r="C34" s="21"/>
      <c r="D34" s="21"/>
      <c r="E34" s="21"/>
      <c r="F34" s="21"/>
      <c r="G34" s="21"/>
      <c r="H34" s="21"/>
      <c r="I34" s="21"/>
      <c r="J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47" spans="13:14" ht="13.5" thickBot="1">
      <c r="M47" s="15">
        <f>mu0-(2.9*etxbarre)/10*(20-anim)</f>
        <v>98.00031283727961</v>
      </c>
      <c r="N47">
        <v>0</v>
      </c>
    </row>
    <row r="48" spans="13:14" ht="13.5" thickBot="1">
      <c r="M48" s="15">
        <f>mu0-(2.9*etxbarre)/10*(20-anim)</f>
        <v>98.00031283727961</v>
      </c>
      <c r="N48" s="16">
        <f>$M$4</f>
        <v>0.5876559913158417</v>
      </c>
    </row>
    <row r="49" ht="12.75">
      <c r="E49" s="12" t="s">
        <v>11</v>
      </c>
    </row>
    <row r="50" ht="12.75">
      <c r="E50" s="13">
        <v>2</v>
      </c>
    </row>
    <row r="51" ht="13.5" thickBot="1">
      <c r="E51" s="14">
        <v>15</v>
      </c>
    </row>
    <row r="53" ht="13.5" thickBot="1"/>
    <row r="54" spans="4:24" ht="15.75">
      <c r="D54" s="3" t="s">
        <v>12</v>
      </c>
      <c r="E54" s="4"/>
      <c r="J54" s="3" t="s">
        <v>12</v>
      </c>
      <c r="K54" s="4"/>
      <c r="M54" s="3" t="s">
        <v>13</v>
      </c>
      <c r="N54" s="4"/>
      <c r="P54" s="3" t="s">
        <v>14</v>
      </c>
      <c r="Q54" s="4"/>
      <c r="S54" s="3" t="s">
        <v>15</v>
      </c>
      <c r="T54" s="4"/>
      <c r="W54" s="3" t="s">
        <v>35</v>
      </c>
      <c r="X54" s="4"/>
    </row>
    <row r="55" spans="4:24" ht="12.75">
      <c r="D55" s="5" t="s">
        <v>16</v>
      </c>
      <c r="E55" s="6"/>
      <c r="J55" s="5" t="s">
        <v>17</v>
      </c>
      <c r="K55" s="6"/>
      <c r="M55" s="5"/>
      <c r="N55" s="6"/>
      <c r="P55" s="5"/>
      <c r="Q55" s="6"/>
      <c r="S55" s="5"/>
      <c r="T55" s="6"/>
      <c r="W55" s="5" t="s">
        <v>36</v>
      </c>
      <c r="X55" s="6"/>
    </row>
    <row r="56" spans="4:24" ht="12.75">
      <c r="D56" s="5"/>
      <c r="E56" s="6"/>
      <c r="J56" s="5"/>
      <c r="K56" s="6"/>
      <c r="M56" s="5">
        <f>IF(nature="droite",point_crit_2,point_crit_1)</f>
        <v>97.68787727042844</v>
      </c>
      <c r="N56" s="6">
        <v>0</v>
      </c>
      <c r="P56" s="5">
        <f>mu0</f>
        <v>100</v>
      </c>
      <c r="Q56" s="6">
        <v>0</v>
      </c>
      <c r="S56" s="10">
        <f>mu0-9*etxbarre</f>
        <v>87.58814864518375</v>
      </c>
      <c r="T56" s="6" t="s">
        <v>18</v>
      </c>
      <c r="W56" s="73">
        <v>2</v>
      </c>
      <c r="X56" s="6"/>
    </row>
    <row r="57" spans="4:24" ht="13.5" thickBot="1">
      <c r="D57" s="5">
        <f>mu0-3*etxbarre</f>
        <v>95.86271621506125</v>
      </c>
      <c r="E57" s="6">
        <f aca="true" t="shared" si="0" ref="E57:E97">IF(contexte=1,NORMDIST(D57,mu0,etxbarre,0),Student((D57-mu0)/etxbarre,n-1,0))</f>
        <v>0.005859986413270235</v>
      </c>
      <c r="J57" s="5">
        <f>mu_1-3*etxbarre</f>
        <v>93.86302905234086</v>
      </c>
      <c r="K57" s="6">
        <f aca="true" t="shared" si="1" ref="K57:K97">IF(contexte=1,NORMDIST(J57,mu_1,etxbarre,0),Student((J57-mu_1)/etxbarre,n-1,0))</f>
        <v>0.005859986413270235</v>
      </c>
      <c r="M57" s="5">
        <f>IF(nature="droite",point_crit_2,point_crit_1)</f>
        <v>97.68787727042844</v>
      </c>
      <c r="N57" s="6">
        <f>IF(contexte=1,IF(nature="droite",0,NORMDIST(mu0,mu0,etxbarre,0)),IF(nature="droite",0,0.4))</f>
        <v>0.4</v>
      </c>
      <c r="P57" s="7">
        <f>mu0</f>
        <v>100</v>
      </c>
      <c r="Q57" s="8">
        <f>IF(contexte=1,NORMDIST(mu0,mu0,etxbarre,0),Student(0,n-1,0))</f>
        <v>0.39691218733787537</v>
      </c>
      <c r="S57" s="10">
        <f>mu0+9*etxbarre</f>
        <v>112.41185135481625</v>
      </c>
      <c r="T57" s="6" t="s">
        <v>19</v>
      </c>
      <c r="W57" s="5"/>
      <c r="X57" s="6"/>
    </row>
    <row r="58" spans="4:24" ht="14.25" thickBot="1">
      <c r="D58" s="5">
        <f>D57+3*etxbarre/20</f>
        <v>96.0695804043082</v>
      </c>
      <c r="E58" s="6">
        <f t="shared" si="0"/>
        <v>0.00857859943062067</v>
      </c>
      <c r="J58" s="5">
        <f>J57+3*etxbarre/20</f>
        <v>94.0698932415878</v>
      </c>
      <c r="K58" s="6">
        <f t="shared" si="1"/>
        <v>0.00857859943062067</v>
      </c>
      <c r="M58" s="5"/>
      <c r="N58" s="6"/>
      <c r="S58" s="10"/>
      <c r="T58" s="6"/>
      <c r="W58" s="74" t="s">
        <v>33</v>
      </c>
      <c r="X58" s="75">
        <v>1</v>
      </c>
    </row>
    <row r="59" spans="4:24" ht="16.5" thickBot="1">
      <c r="D59" s="5">
        <f aca="true" t="shared" si="2" ref="D59:D75">D58+3*etxbarre/20</f>
        <v>96.27644459355514</v>
      </c>
      <c r="E59" s="6">
        <f t="shared" si="0"/>
        <v>0.012382694520056248</v>
      </c>
      <c r="J59" s="5">
        <f aca="true" t="shared" si="3" ref="J59:J74">J58+3*etxbarre/20</f>
        <v>94.27675743083475</v>
      </c>
      <c r="K59" s="6">
        <f>IF(contexte=1,NORMDIST(J59,mu_1,etxbarre,0),Student((J59-mu_1)/etxbarre,n-1,0))</f>
        <v>0.012382694520056248</v>
      </c>
      <c r="M59" s="5">
        <f>IF(nature="gauche",point_crit_1,point_crit_2)</f>
        <v>102.31212272957156</v>
      </c>
      <c r="N59" s="6">
        <v>0</v>
      </c>
      <c r="P59" s="3" t="s">
        <v>20</v>
      </c>
      <c r="Q59" s="4"/>
      <c r="S59" s="11">
        <f>max</f>
        <v>112.41185135481625</v>
      </c>
      <c r="T59" s="8">
        <v>0</v>
      </c>
      <c r="W59" s="76" t="s">
        <v>34</v>
      </c>
      <c r="X59" s="61">
        <v>2</v>
      </c>
    </row>
    <row r="60" spans="4:17" ht="13.5" thickBot="1">
      <c r="D60" s="5">
        <f t="shared" si="2"/>
        <v>96.48330878280208</v>
      </c>
      <c r="E60" s="6">
        <f t="shared" si="0"/>
        <v>0.017610952258110046</v>
      </c>
      <c r="J60" s="5">
        <f t="shared" si="3"/>
        <v>94.48362162008169</v>
      </c>
      <c r="K60" s="6">
        <f>IF(contexte=1,NORMDIST(J60,mu_1,etxbarre,0),Student((J60-mu_1)/etxbarre,n-1,0))</f>
        <v>0.017610952258110046</v>
      </c>
      <c r="M60" s="7">
        <f>IF(nature="gauche",point_crit_1,point_crit_2)</f>
        <v>102.31212272957156</v>
      </c>
      <c r="N60" s="6">
        <f>IF(contexte=1,IF(nature="gauche",0,NORMDIST(mu0,mu0,etxbarre,0)),IF(nature="gauche",0,0.4))</f>
        <v>0.4</v>
      </c>
      <c r="P60" s="5"/>
      <c r="Q60" s="6"/>
    </row>
    <row r="61" spans="4:17" ht="13.5" thickBot="1">
      <c r="D61" s="5">
        <f t="shared" si="2"/>
        <v>96.69017297204903</v>
      </c>
      <c r="E61" s="6">
        <f t="shared" si="0"/>
        <v>0.024660982191562653</v>
      </c>
      <c r="J61" s="5">
        <f t="shared" si="3"/>
        <v>94.69048580932864</v>
      </c>
      <c r="K61" s="6">
        <f t="shared" si="1"/>
        <v>0.024660982191562653</v>
      </c>
      <c r="P61" s="5">
        <f>mu_1</f>
        <v>98.00031283727961</v>
      </c>
      <c r="Q61" s="6">
        <v>0</v>
      </c>
    </row>
    <row r="62" spans="4:17" ht="13.5" thickBot="1">
      <c r="D62" s="5">
        <f t="shared" si="2"/>
        <v>96.89703716129597</v>
      </c>
      <c r="E62" s="6">
        <f t="shared" si="0"/>
        <v>0.03397764638066292</v>
      </c>
      <c r="J62" s="5">
        <f t="shared" si="3"/>
        <v>94.89734999857558</v>
      </c>
      <c r="K62" s="6">
        <f t="shared" si="1"/>
        <v>0.03397764638066292</v>
      </c>
      <c r="M62" s="3" t="s">
        <v>21</v>
      </c>
      <c r="N62" s="4"/>
      <c r="P62" s="7">
        <f>mu_1</f>
        <v>98.00031283727961</v>
      </c>
      <c r="Q62" s="8">
        <f>IF(contexte=1,NORMDIST(mu_1,mu_1,etxbarre,0)*0.8,0.8*GAMMADIST(1,(n-1)/2,1,0)/(GAMMADIST(1,n/2,1,0)*SQRT((n-1)*PI())))</f>
        <v>0.31752974774599</v>
      </c>
    </row>
    <row r="63" spans="4:14" ht="13.5" thickBot="1">
      <c r="D63" s="5">
        <f t="shared" si="2"/>
        <v>97.10390135054291</v>
      </c>
      <c r="E63" s="6">
        <f t="shared" si="0"/>
        <v>0.04602905735373497</v>
      </c>
      <c r="J63" s="5">
        <f t="shared" si="3"/>
        <v>95.10421418782252</v>
      </c>
      <c r="K63" s="6">
        <f t="shared" si="1"/>
        <v>0.04602905735373497</v>
      </c>
      <c r="M63" s="5" t="s">
        <v>22</v>
      </c>
      <c r="N63" s="6" t="s">
        <v>23</v>
      </c>
    </row>
    <row r="64" spans="4:20" ht="12.75">
      <c r="D64" s="5">
        <f t="shared" si="2"/>
        <v>97.31076553978986</v>
      </c>
      <c r="E64" s="6">
        <f t="shared" si="0"/>
        <v>0.06126808002591133</v>
      </c>
      <c r="J64" s="5">
        <f t="shared" si="3"/>
        <v>95.31107837706946</v>
      </c>
      <c r="K64" s="6">
        <f t="shared" si="1"/>
        <v>0.06126808002591133</v>
      </c>
      <c r="M64" s="5"/>
      <c r="N64" s="6"/>
      <c r="P64" s="3" t="s">
        <v>24</v>
      </c>
      <c r="Q64" s="4"/>
      <c r="S64" s="3" t="s">
        <v>24</v>
      </c>
      <c r="T64" s="4"/>
    </row>
    <row r="65" spans="4:20" ht="12.75">
      <c r="D65" s="5">
        <f t="shared" si="2"/>
        <v>97.5176297290368</v>
      </c>
      <c r="E65" s="6">
        <f t="shared" si="0"/>
        <v>0.08007874339818954</v>
      </c>
      <c r="J65" s="5">
        <f t="shared" si="3"/>
        <v>95.5179425663164</v>
      </c>
      <c r="K65" s="6">
        <f t="shared" si="1"/>
        <v>0.08007874339818954</v>
      </c>
      <c r="M65" s="5">
        <f>IF(nature="gauche",point_crit_1-etxbarre/10,IF(nature="droite",point_crit_2+etxbarre/10,mu0))</f>
        <v>100</v>
      </c>
      <c r="N65" s="6">
        <f>IF(nature="bi",0,NORMDIST(M65,mu0,etxbarre,0))</f>
        <v>0</v>
      </c>
      <c r="P65" s="5" t="s">
        <v>50</v>
      </c>
      <c r="Q65" s="6"/>
      <c r="S65" s="5" t="s">
        <v>51</v>
      </c>
      <c r="T65" s="6"/>
    </row>
    <row r="66" spans="4:20" ht="12.75">
      <c r="D66" s="5">
        <f t="shared" si="2"/>
        <v>97.72449391828374</v>
      </c>
      <c r="E66" s="6">
        <f t="shared" si="0"/>
        <v>0.10270905494689941</v>
      </c>
      <c r="J66" s="5">
        <f t="shared" si="3"/>
        <v>95.72480675556335</v>
      </c>
      <c r="K66" s="6">
        <f t="shared" si="1"/>
        <v>0.10270905494689941</v>
      </c>
      <c r="M66" s="5">
        <f>IF(nature="gauche",point_crit_1-etxbarre/10,IF(nature="droite",point_crit_2+etxbarre/10,mu0))</f>
        <v>100</v>
      </c>
      <c r="N66" s="6">
        <v>0</v>
      </c>
      <c r="P66" s="5"/>
      <c r="Q66" s="6"/>
      <c r="S66" s="5"/>
      <c r="T66" s="6"/>
    </row>
    <row r="67" spans="4:20" ht="12.75">
      <c r="D67" s="5">
        <f t="shared" si="2"/>
        <v>97.93135810753068</v>
      </c>
      <c r="E67" s="6">
        <f t="shared" si="0"/>
        <v>0.1291961818933487</v>
      </c>
      <c r="J67" s="5">
        <f t="shared" si="3"/>
        <v>95.93167094481029</v>
      </c>
      <c r="K67" s="6">
        <f t="shared" si="1"/>
        <v>0.1291961818933487</v>
      </c>
      <c r="M67" s="5">
        <f aca="true" t="shared" si="4" ref="M67:M76">IF(nature="gauche",M65-3*etxbarre/10,IF(nature="droite",M65+3*etxbarre/10,mu0))</f>
        <v>100</v>
      </c>
      <c r="N67" s="6">
        <f>IF(nature="bi",0,NORMDIST(M67,mu0,etxbarre,0))</f>
        <v>0</v>
      </c>
      <c r="P67" s="5">
        <f>IF(nature="bi",point_crit_1+(point_crit_2-point_crit_1)/20,mu0)</f>
        <v>97.9190895433856</v>
      </c>
      <c r="Q67" s="6">
        <f>0</f>
        <v>0</v>
      </c>
      <c r="S67" s="5">
        <f>IF(nature="gauche",point_crit_1+(mu_1+3*etxbarre-point_crit_1)/20,IF(nature="droite",point_crit_2-(point_crit_2-(mu_1-3*etxbarre))/20,mu0))</f>
        <v>100</v>
      </c>
      <c r="T67" s="6">
        <f>0</f>
        <v>0</v>
      </c>
    </row>
    <row r="68" spans="4:20" ht="12.75">
      <c r="D68" s="5">
        <f t="shared" si="2"/>
        <v>98.13822229677763</v>
      </c>
      <c r="E68" s="6">
        <f t="shared" si="0"/>
        <v>0.15929266810417175</v>
      </c>
      <c r="J68" s="5">
        <f t="shared" si="3"/>
        <v>96.13853513405724</v>
      </c>
      <c r="K68" s="6">
        <f t="shared" si="1"/>
        <v>0.15929266810417175</v>
      </c>
      <c r="M68" s="5">
        <f t="shared" si="4"/>
        <v>100</v>
      </c>
      <c r="N68" s="6">
        <v>0</v>
      </c>
      <c r="P68" s="5">
        <f>IF(nature="bi",point_crit_1+(point_crit_2-point_crit_1)/20,mu0)</f>
        <v>97.9190895433856</v>
      </c>
      <c r="Q68" s="6">
        <f>IF(contexte=1,IF(nature="bi",NORMDIST(P68,mu_1,etxbarre,0),0),IF(nature="bi",GAMMADIST(1,(n-1)/2,1,0)/(GAMMADIST(1,n/2,1,0)*SQRT((n-1)*PI())*(1+((P68-mu_1)/etxbarre)^2/(n-1))^(n/2)),0))</f>
        <v>0.39621038714409823</v>
      </c>
      <c r="S68" s="5">
        <f>IF(nature="gauche",point_crit_1+(mu_1+3*etxbarre-point_crit_1)/20,IF(nature="droite",point_crit_2-(point_crit_2-(mu_1-3*etxbarre))/20,mu0))</f>
        <v>100</v>
      </c>
      <c r="T68" s="6">
        <f>IF(contexte=1,IF(nature="bi",0,NORMDIST(S68,mu_1,etxbarre,0)),IF(nature="bi",0,GAMMADIST(1,(n-1)/2,1,0)/(GAMMADIST(1,n/2,1,0)*SQRT((n-1)*PI())*(1+((S68-mu_1)/etxbarre)^2/(n-1))^(n/2))))</f>
        <v>0</v>
      </c>
    </row>
    <row r="69" spans="4:20" ht="12.75">
      <c r="D69" s="5">
        <f t="shared" si="2"/>
        <v>98.34508648602457</v>
      </c>
      <c r="E69" s="6">
        <f t="shared" si="0"/>
        <v>0.19240637123584747</v>
      </c>
      <c r="J69" s="5">
        <f t="shared" si="3"/>
        <v>96.34539932330418</v>
      </c>
      <c r="K69" s="6">
        <f t="shared" si="1"/>
        <v>0.19240637123584747</v>
      </c>
      <c r="M69" s="5">
        <f t="shared" si="4"/>
        <v>100</v>
      </c>
      <c r="N69" s="6">
        <f>IF(nature="bi",0,NORMDIST(M69,mu0,etxbarre,0))</f>
        <v>0</v>
      </c>
      <c r="P69" s="5">
        <f>IF(nature="bi",P67+(point_crit_2-point_crit_1)/20,mu0)</f>
        <v>98.15030181634275</v>
      </c>
      <c r="Q69" s="6">
        <f>0</f>
        <v>0</v>
      </c>
      <c r="S69" s="5">
        <f aca="true" t="shared" si="5" ref="S69:S104">IF(nature="gauche",S67+(mu_1+3*etxbarre-point_crit_1)/20,IF(nature="droite",S67-(point_crit_2-(mu_1-3*etxbarre))/20,mu0))</f>
        <v>100</v>
      </c>
      <c r="T69" s="6">
        <f>0</f>
        <v>0</v>
      </c>
    </row>
    <row r="70" spans="4:20" ht="12.75">
      <c r="D70" s="5">
        <f t="shared" si="2"/>
        <v>98.55195067527151</v>
      </c>
      <c r="E70" s="6">
        <f t="shared" si="0"/>
        <v>0.22756817936897278</v>
      </c>
      <c r="J70" s="5">
        <f t="shared" si="3"/>
        <v>96.55226351255112</v>
      </c>
      <c r="K70" s="6">
        <f t="shared" si="1"/>
        <v>0.22756817936897278</v>
      </c>
      <c r="M70" s="5">
        <f t="shared" si="4"/>
        <v>100</v>
      </c>
      <c r="N70" s="6">
        <v>0</v>
      </c>
      <c r="P70" s="5">
        <f>IF(nature="bi",P68+(point_crit_2-point_crit_1)/20,mu0)</f>
        <v>98.15030181634275</v>
      </c>
      <c r="Q70" s="6">
        <f>IF(contexte=1,IF(nature="bi",NORMDIST(P70,mu_1,etxbarre,0),0),IF(nature="bi",GAMMADIST(1,(n-1)/2,1,0)/(GAMMADIST(1,n/2,1,0)*SQRT((n-1)*PI())*(1+((P70-mu_1)/etxbarre)^2/(n-1))^(n/2)),0))</f>
        <v>0.3945243356086985</v>
      </c>
      <c r="S70" s="5">
        <f t="shared" si="5"/>
        <v>100</v>
      </c>
      <c r="T70" s="6">
        <f>IF(contexte=1,IF(nature="bi",0,NORMDIST(S70,mu_1,etxbarre,0)),IF(nature="bi",0,GAMMADIST(1,(n-1)/2,1,0)/(GAMMADIST(1,n/2,1,0)*SQRT((n-1)*PI())*(1+((S70-mu_1)/etxbarre)^2/(n-1))^(n/2))))</f>
        <v>0</v>
      </c>
    </row>
    <row r="71" spans="4:20" ht="12.75">
      <c r="D71" s="5">
        <f t="shared" si="2"/>
        <v>98.75881486451846</v>
      </c>
      <c r="E71" s="6">
        <f t="shared" si="0"/>
        <v>0.26344072818756104</v>
      </c>
      <c r="J71" s="5">
        <f t="shared" si="3"/>
        <v>96.75912770179806</v>
      </c>
      <c r="K71" s="6">
        <f t="shared" si="1"/>
        <v>0.26344072818756104</v>
      </c>
      <c r="M71" s="5">
        <f t="shared" si="4"/>
        <v>100</v>
      </c>
      <c r="N71" s="6">
        <f>IF(nature="bi",0,NORMDIST(M71,mu0,etxbarre,0))</f>
        <v>0</v>
      </c>
      <c r="P71" s="5">
        <f aca="true" t="shared" si="6" ref="P71:P86">IF(nature="bi",P69+(point_crit_2-point_crit_1)/20,mu0)</f>
        <v>98.3815140892999</v>
      </c>
      <c r="Q71" s="6">
        <f>0</f>
        <v>0</v>
      </c>
      <c r="S71" s="5">
        <f t="shared" si="5"/>
        <v>100</v>
      </c>
      <c r="T71" s="6">
        <f>0</f>
        <v>0</v>
      </c>
    </row>
    <row r="72" spans="4:20" ht="12.75">
      <c r="D72" s="5">
        <f t="shared" si="2"/>
        <v>98.9656790537654</v>
      </c>
      <c r="E72" s="6">
        <f t="shared" si="0"/>
        <v>0.29837766289711</v>
      </c>
      <c r="J72" s="5">
        <f t="shared" si="3"/>
        <v>96.96599189104501</v>
      </c>
      <c r="K72" s="6">
        <f t="shared" si="1"/>
        <v>0.29837766289711</v>
      </c>
      <c r="M72" s="5">
        <f t="shared" si="4"/>
        <v>100</v>
      </c>
      <c r="N72" s="6">
        <v>0</v>
      </c>
      <c r="P72" s="5">
        <f t="shared" si="6"/>
        <v>98.3815140892999</v>
      </c>
      <c r="Q72" s="6">
        <f>IF(contexte=1,IF(nature="bi",NORMDIST(P72,mu_1,etxbarre,0),0),IF(nature="bi",GAMMADIST(1,(n-1)/2,1,0)/(GAMMADIST(1,n/2,1,0)*SQRT((n-1)*PI())*(1+((P72-mu_1)/etxbarre)^2/(n-1))^(n/2)),0))</f>
        <v>0.38174902468721983</v>
      </c>
      <c r="S72" s="5">
        <f t="shared" si="5"/>
        <v>100</v>
      </c>
      <c r="T72" s="6">
        <f>IF(contexte=1,IF(nature="bi",0,NORMDIST(S72,mu_1,etxbarre,0)),IF(nature="bi",0,GAMMADIST(1,(n-1)/2,1,0)/(GAMMADIST(1,n/2,1,0)*SQRT((n-1)*PI())*(1+((S72-mu_1)/etxbarre)^2/(n-1))^(n/2))))</f>
        <v>0</v>
      </c>
    </row>
    <row r="73" spans="4:20" ht="12.75">
      <c r="D73" s="5">
        <f t="shared" si="2"/>
        <v>99.17254324301234</v>
      </c>
      <c r="E73" s="6">
        <f t="shared" si="0"/>
        <v>0.3305351436138153</v>
      </c>
      <c r="J73" s="5">
        <f t="shared" si="3"/>
        <v>97.17285608029195</v>
      </c>
      <c r="K73" s="6">
        <f t="shared" si="1"/>
        <v>0.3305351436138153</v>
      </c>
      <c r="M73" s="5">
        <f t="shared" si="4"/>
        <v>100</v>
      </c>
      <c r="N73" s="6">
        <f>IF(nature="bi",0,NORMDIST(M73,mu0,etxbarre,0))</f>
        <v>0</v>
      </c>
      <c r="P73" s="5">
        <f t="shared" si="6"/>
        <v>98.61272636225705</v>
      </c>
      <c r="Q73" s="6">
        <f>0</f>
        <v>0</v>
      </c>
      <c r="S73" s="5">
        <f t="shared" si="5"/>
        <v>100</v>
      </c>
      <c r="T73" s="6">
        <f>0</f>
        <v>0</v>
      </c>
    </row>
    <row r="74" spans="4:20" ht="12.75">
      <c r="D74" s="5">
        <f>D73+3*etxbarre/20</f>
        <v>99.37940743225928</v>
      </c>
      <c r="E74" s="6">
        <f t="shared" si="0"/>
        <v>0.3580281436443329</v>
      </c>
      <c r="J74" s="5">
        <f t="shared" si="3"/>
        <v>97.3797202695389</v>
      </c>
      <c r="K74" s="6">
        <f t="shared" si="1"/>
        <v>0.3580281436443329</v>
      </c>
      <c r="M74" s="5">
        <f t="shared" si="4"/>
        <v>100</v>
      </c>
      <c r="N74" s="6">
        <v>0</v>
      </c>
      <c r="P74" s="5">
        <f t="shared" si="6"/>
        <v>98.61272636225705</v>
      </c>
      <c r="Q74" s="6">
        <f>IF(contexte=1,IF(nature="bi",NORMDIST(P74,mu_1,etxbarre,0),0),IF(nature="bi",GAMMADIST(1,(n-1)/2,1,0)/(GAMMADIST(1,n/2,1,0)*SQRT((n-1)*PI())*(1+((P74-mu_1)/etxbarre)^2/(n-1))^(n/2)),0))</f>
        <v>0.35899411392939456</v>
      </c>
      <c r="S74" s="5">
        <f t="shared" si="5"/>
        <v>100</v>
      </c>
      <c r="T74" s="6">
        <f>IF(contexte=1,IF(nature="bi",0,NORMDIST(S74,mu_1,etxbarre,0)),IF(nature="bi",0,GAMMADIST(1,(n-1)/2,1,0)/(GAMMADIST(1,n/2,1,0)*SQRT((n-1)*PI())*(1+((S74-mu_1)/etxbarre)^2/(n-1))^(n/2))))</f>
        <v>0</v>
      </c>
    </row>
    <row r="75" spans="4:20" ht="12.75">
      <c r="D75" s="5">
        <f t="shared" si="2"/>
        <v>99.58627162150623</v>
      </c>
      <c r="E75" s="6">
        <f t="shared" si="0"/>
        <v>0.37911471724510193</v>
      </c>
      <c r="J75" s="5">
        <f aca="true" t="shared" si="7" ref="J75:J90">J74+3*etxbarre/20</f>
        <v>97.58658445878584</v>
      </c>
      <c r="K75" s="6">
        <f t="shared" si="1"/>
        <v>0.37911471724510193</v>
      </c>
      <c r="M75" s="5">
        <f t="shared" si="4"/>
        <v>100</v>
      </c>
      <c r="N75" s="6">
        <f>IF(nature="bi",0,NORMDIST(M75,mu0,etxbarre,0))</f>
        <v>0</v>
      </c>
      <c r="P75" s="5">
        <f t="shared" si="6"/>
        <v>98.8439386352142</v>
      </c>
      <c r="Q75" s="6">
        <f>0</f>
        <v>0</v>
      </c>
      <c r="S75" s="5">
        <f t="shared" si="5"/>
        <v>100</v>
      </c>
      <c r="T75" s="6">
        <f>0</f>
        <v>0</v>
      </c>
    </row>
    <row r="76" spans="4:20" ht="13.5" thickBot="1">
      <c r="D76" s="5">
        <f aca="true" t="shared" si="8" ref="D76:D88">D75+3*etxbarre/20</f>
        <v>99.79313581075317</v>
      </c>
      <c r="E76" s="6">
        <f t="shared" si="0"/>
        <v>0.3923828899860382</v>
      </c>
      <c r="J76" s="5">
        <f t="shared" si="7"/>
        <v>97.79344864803278</v>
      </c>
      <c r="K76" s="6">
        <f t="shared" si="1"/>
        <v>0.3923828899860382</v>
      </c>
      <c r="M76" s="7">
        <f t="shared" si="4"/>
        <v>100</v>
      </c>
      <c r="N76" s="8">
        <v>0</v>
      </c>
      <c r="P76" s="5">
        <f t="shared" si="6"/>
        <v>98.8439386352142</v>
      </c>
      <c r="Q76" s="6">
        <f>IF(contexte=1,IF(nature="bi",NORMDIST(P76,mu_1,etxbarre,0),0),IF(nature="bi",GAMMADIST(1,(n-1)/2,1,0)/(GAMMADIST(1,n/2,1,0)*SQRT((n-1)*PI())*(1+((P76-mu_1)/etxbarre)^2/(n-1))^(n/2)),0))</f>
        <v>0.32816567622929255</v>
      </c>
      <c r="S76" s="5">
        <f t="shared" si="5"/>
        <v>100</v>
      </c>
      <c r="T76" s="6">
        <f>IF(contexte=1,IF(nature="bi",0,NORMDIST(S76,mu_1,etxbarre,0)),IF(nature="bi",0,GAMMADIST(1,(n-1)/2,1,0)/(GAMMADIST(1,n/2,1,0)*SQRT((n-1)*PI())*(1+((S76-mu_1)/etxbarre)^2/(n-1))^(n/2))))</f>
        <v>0</v>
      </c>
    </row>
    <row r="77" spans="4:20" ht="13.5" thickBot="1">
      <c r="D77" s="5">
        <f t="shared" si="8"/>
        <v>100.00000000000011</v>
      </c>
      <c r="E77" s="6">
        <f t="shared" si="0"/>
        <v>0.39691218733787537</v>
      </c>
      <c r="J77" s="5">
        <f t="shared" si="7"/>
        <v>98.00031283727972</v>
      </c>
      <c r="K77" s="6">
        <f t="shared" si="1"/>
        <v>0.39691218733787537</v>
      </c>
      <c r="P77" s="5">
        <f t="shared" si="6"/>
        <v>99.07515090817135</v>
      </c>
      <c r="Q77" s="6">
        <f>0</f>
        <v>0</v>
      </c>
      <c r="S77" s="5">
        <f t="shared" si="5"/>
        <v>100</v>
      </c>
      <c r="T77" s="6">
        <f>0</f>
        <v>0</v>
      </c>
    </row>
    <row r="78" spans="4:20" ht="12.75">
      <c r="D78" s="5">
        <f t="shared" si="8"/>
        <v>100.20686418924706</v>
      </c>
      <c r="E78" s="6">
        <f t="shared" si="0"/>
        <v>0.3923828899860382</v>
      </c>
      <c r="J78" s="5">
        <f t="shared" si="7"/>
        <v>98.20717702652667</v>
      </c>
      <c r="K78" s="6">
        <f t="shared" si="1"/>
        <v>0.3923828899860382</v>
      </c>
      <c r="M78" s="3" t="s">
        <v>21</v>
      </c>
      <c r="N78" s="4"/>
      <c r="P78" s="5">
        <f t="shared" si="6"/>
        <v>99.07515090817135</v>
      </c>
      <c r="Q78" s="6">
        <f>IF(contexte=1,IF(nature="bi",NORMDIST(P78,mu_1,etxbarre,0),0),IF(nature="bi",GAMMADIST(1,(n-1)/2,1,0)/(GAMMADIST(1,n/2,1,0)*SQRT((n-1)*PI())*(1+((P78-mu_1)/etxbarre)^2/(n-1))^(n/2)),0))</f>
        <v>0.29169413449194453</v>
      </c>
      <c r="S78" s="5">
        <f t="shared" si="5"/>
        <v>100</v>
      </c>
      <c r="T78" s="6">
        <f>IF(contexte=1,IF(nature="bi",0,NORMDIST(S78,mu_1,etxbarre,0)),IF(nature="bi",0,GAMMADIST(1,(n-1)/2,1,0)/(GAMMADIST(1,n/2,1,0)*SQRT((n-1)*PI())*(1+((S78-mu_1)/etxbarre)^2/(n-1))^(n/2))))</f>
        <v>0</v>
      </c>
    </row>
    <row r="79" spans="4:20" ht="12.75">
      <c r="D79" s="5">
        <f t="shared" si="8"/>
        <v>100.413728378494</v>
      </c>
      <c r="E79" s="6">
        <f t="shared" si="0"/>
        <v>0.37911471724510193</v>
      </c>
      <c r="J79" s="5">
        <f t="shared" si="7"/>
        <v>98.41404121577361</v>
      </c>
      <c r="K79" s="6">
        <f t="shared" si="1"/>
        <v>0.37911471724510193</v>
      </c>
      <c r="M79" s="5" t="s">
        <v>22</v>
      </c>
      <c r="N79" s="6" t="s">
        <v>25</v>
      </c>
      <c r="P79" s="5">
        <f t="shared" si="6"/>
        <v>99.3063631811285</v>
      </c>
      <c r="Q79" s="6">
        <f>0</f>
        <v>0</v>
      </c>
      <c r="S79" s="5">
        <f t="shared" si="5"/>
        <v>100</v>
      </c>
      <c r="T79" s="6">
        <f>0</f>
        <v>0</v>
      </c>
    </row>
    <row r="80" spans="4:20" ht="12.75">
      <c r="D80" s="5">
        <f t="shared" si="8"/>
        <v>100.62059256774094</v>
      </c>
      <c r="E80" s="6">
        <f t="shared" si="0"/>
        <v>0.3580281436443329</v>
      </c>
      <c r="J80" s="5">
        <f t="shared" si="7"/>
        <v>98.62090540502055</v>
      </c>
      <c r="K80" s="6">
        <f t="shared" si="1"/>
        <v>0.3580281436443329</v>
      </c>
      <c r="M80" s="5"/>
      <c r="N80" s="6"/>
      <c r="P80" s="5">
        <f t="shared" si="6"/>
        <v>99.3063631811285</v>
      </c>
      <c r="Q80" s="6">
        <f>IF(contexte=1,IF(nature="bi",NORMDIST(P80,mu_1,etxbarre,0),0),IF(nature="bi",GAMMADIST(1,(n-1)/2,1,0)/(GAMMADIST(1,n/2,1,0)*SQRT((n-1)*PI())*(1+((P80-mu_1)/etxbarre)^2/(n-1))^(n/2)),0))</f>
        <v>0.2522103156317929</v>
      </c>
      <c r="S80" s="5">
        <f t="shared" si="5"/>
        <v>100</v>
      </c>
      <c r="T80" s="6">
        <f>IF(contexte=1,IF(nature="bi",0,NORMDIST(S80,mu_1,etxbarre,0)),IF(nature="bi",0,GAMMADIST(1,(n-1)/2,1,0)/(GAMMADIST(1,n/2,1,0)*SQRT((n-1)*PI())*(1+((S80-mu_1)/etxbarre)^2/(n-1))^(n/2))))</f>
        <v>0</v>
      </c>
    </row>
    <row r="81" spans="4:20" ht="12.75">
      <c r="D81" s="5">
        <f t="shared" si="8"/>
        <v>100.82745675698789</v>
      </c>
      <c r="E81" s="6">
        <f t="shared" si="0"/>
        <v>0.3305351436138153</v>
      </c>
      <c r="J81" s="5">
        <f t="shared" si="7"/>
        <v>98.8277695942675</v>
      </c>
      <c r="K81" s="6">
        <f t="shared" si="1"/>
        <v>0.3305351436138153</v>
      </c>
      <c r="M81" s="5">
        <f>IF(nature="bi",point_crit_1-etxbarre/10,mu0)</f>
        <v>97.54996781093048</v>
      </c>
      <c r="N81" s="6">
        <v>0</v>
      </c>
      <c r="P81" s="5">
        <f t="shared" si="6"/>
        <v>99.53757545408565</v>
      </c>
      <c r="Q81" s="6">
        <f>0</f>
        <v>0</v>
      </c>
      <c r="S81" s="5">
        <f t="shared" si="5"/>
        <v>100</v>
      </c>
      <c r="T81" s="6">
        <f>0</f>
        <v>0</v>
      </c>
    </row>
    <row r="82" spans="4:20" ht="12.75">
      <c r="D82" s="5">
        <f t="shared" si="8"/>
        <v>101.03432094623483</v>
      </c>
      <c r="E82" s="6">
        <f t="shared" si="0"/>
        <v>0.29837766289711</v>
      </c>
      <c r="J82" s="5">
        <f t="shared" si="7"/>
        <v>99.03463378351444</v>
      </c>
      <c r="K82" s="6">
        <f t="shared" si="1"/>
        <v>0.29837766289711</v>
      </c>
      <c r="M82" s="5">
        <f>IF(nature="bi",point_crit_1-etxbarre/10,mu0)</f>
        <v>97.54996781093048</v>
      </c>
      <c r="N82" s="6">
        <f>IF(nature="bi",NORMDIST(M82,mu0,etxbarre,0),0)</f>
        <v>0.05969942739065476</v>
      </c>
      <c r="P82" s="5">
        <f t="shared" si="6"/>
        <v>99.53757545408565</v>
      </c>
      <c r="Q82" s="6">
        <f>IF(contexte=1,IF(nature="bi",NORMDIST(P82,mu_1,etxbarre,0),0),IF(nature="bi",GAMMADIST(1,(n-1)/2,1,0)/(GAMMADIST(1,n/2,1,0)*SQRT((n-1)*PI())*(1+((P82-mu_1)/etxbarre)^2/(n-1))^(n/2)),0))</f>
        <v>0.2122307051486968</v>
      </c>
      <c r="S82" s="5">
        <f t="shared" si="5"/>
        <v>100</v>
      </c>
      <c r="T82" s="6">
        <f>IF(contexte=1,IF(nature="bi",0,NORMDIST(S82,mu_1,etxbarre,0)),IF(nature="bi",0,GAMMADIST(1,(n-1)/2,1,0)/(GAMMADIST(1,n/2,1,0)*SQRT((n-1)*PI())*(1+((S82-mu_1)/etxbarre)^2/(n-1))^(n/2))))</f>
        <v>0</v>
      </c>
    </row>
    <row r="83" spans="4:20" ht="12.75">
      <c r="D83" s="5">
        <f t="shared" si="8"/>
        <v>101.24118513548177</v>
      </c>
      <c r="E83" s="6">
        <f t="shared" si="0"/>
        <v>0.26344072818756104</v>
      </c>
      <c r="J83" s="5">
        <f t="shared" si="7"/>
        <v>99.24149797276138</v>
      </c>
      <c r="K83" s="6">
        <f t="shared" si="1"/>
        <v>0.26344072818756104</v>
      </c>
      <c r="M83" s="5">
        <f aca="true" t="shared" si="9" ref="M83:M90">IF(nature="bi",M81-3*etxbarre/10,mu0)</f>
        <v>97.13623943243661</v>
      </c>
      <c r="N83" s="6">
        <v>0</v>
      </c>
      <c r="P83" s="5">
        <f t="shared" si="6"/>
        <v>99.7687877270428</v>
      </c>
      <c r="Q83" s="6">
        <f>0</f>
        <v>0</v>
      </c>
      <c r="S83" s="5">
        <f t="shared" si="5"/>
        <v>100</v>
      </c>
      <c r="T83" s="6">
        <f>0</f>
        <v>0</v>
      </c>
    </row>
    <row r="84" spans="4:20" ht="12.75">
      <c r="D84" s="5">
        <f t="shared" si="8"/>
        <v>101.44804932472871</v>
      </c>
      <c r="E84" s="6">
        <f t="shared" si="0"/>
        <v>0.22756817936897278</v>
      </c>
      <c r="J84" s="5">
        <f t="shared" si="7"/>
        <v>99.44836216200832</v>
      </c>
      <c r="K84" s="6">
        <f t="shared" si="1"/>
        <v>0.22756817936897278</v>
      </c>
      <c r="M84" s="5">
        <f t="shared" si="9"/>
        <v>97.13623943243661</v>
      </c>
      <c r="N84" s="6">
        <f>IF(nature="bi",NORMDIST(M84,mu0,etxbarre,0),0)</f>
        <v>0.03349368997271776</v>
      </c>
      <c r="P84" s="5">
        <f t="shared" si="6"/>
        <v>99.7687877270428</v>
      </c>
      <c r="Q84" s="6">
        <f>IF(contexte=1,IF(nature="bi",NORMDIST(P84,mu_1,etxbarre,0),0),IF(nature="bi",GAMMADIST(1,(n-1)/2,1,0)/(GAMMADIST(1,n/2,1,0)*SQRT((n-1)*PI())*(1+((P84-mu_1)/etxbarre)^2/(n-1))^(n/2)),0))</f>
        <v>0.17390372211986274</v>
      </c>
      <c r="S84" s="5">
        <f t="shared" si="5"/>
        <v>100</v>
      </c>
      <c r="T84" s="6">
        <f>IF(contexte=1,IF(nature="bi",0,NORMDIST(S84,mu_1,etxbarre,0)),IF(nature="bi",0,GAMMADIST(1,(n-1)/2,1,0)/(GAMMADIST(1,n/2,1,0)*SQRT((n-1)*PI())*(1+((S84-mu_1)/etxbarre)^2/(n-1))^(n/2))))</f>
        <v>0</v>
      </c>
    </row>
    <row r="85" spans="4:20" ht="12.75">
      <c r="D85" s="5">
        <f t="shared" si="8"/>
        <v>101.65491351397566</v>
      </c>
      <c r="E85" s="6">
        <f t="shared" si="0"/>
        <v>0.19240637123584747</v>
      </c>
      <c r="J85" s="5">
        <f t="shared" si="7"/>
        <v>99.65522635125527</v>
      </c>
      <c r="K85" s="6">
        <f t="shared" si="1"/>
        <v>0.19240637123584747</v>
      </c>
      <c r="M85" s="5">
        <f t="shared" si="9"/>
        <v>96.72251105394274</v>
      </c>
      <c r="N85" s="6">
        <v>0</v>
      </c>
      <c r="P85" s="5">
        <f t="shared" si="6"/>
        <v>99.99999999999996</v>
      </c>
      <c r="Q85" s="6">
        <f>0</f>
        <v>0</v>
      </c>
      <c r="S85" s="5">
        <f t="shared" si="5"/>
        <v>100</v>
      </c>
      <c r="T85" s="6">
        <f>0</f>
        <v>0</v>
      </c>
    </row>
    <row r="86" spans="4:20" ht="12.75">
      <c r="D86" s="5">
        <f t="shared" si="8"/>
        <v>101.8617777032226</v>
      </c>
      <c r="E86" s="6">
        <f t="shared" si="0"/>
        <v>0.15929266810417175</v>
      </c>
      <c r="J86" s="5">
        <f t="shared" si="7"/>
        <v>99.86209054050221</v>
      </c>
      <c r="K86" s="6">
        <f t="shared" si="1"/>
        <v>0.15929266810417175</v>
      </c>
      <c r="M86" s="5">
        <f t="shared" si="9"/>
        <v>96.72251105394274</v>
      </c>
      <c r="N86" s="6">
        <f>IF(nature="bi",NORMDIST(M86,mu0,etxbarre,0),0)</f>
        <v>0.017173915555224264</v>
      </c>
      <c r="P86" s="5">
        <f t="shared" si="6"/>
        <v>99.99999999999996</v>
      </c>
      <c r="Q86" s="6">
        <f>IF(contexte=1,IF(nature="bi",NORMDIST(P86,mu_1,etxbarre,0),0),IF(nature="bi",GAMMADIST(1,(n-1)/2,1,0)/(GAMMADIST(1,n/2,1,0)*SQRT((n-1)*PI())*(1+((P86-mu_1)/etxbarre)^2/(n-1))^(n/2)),0))</f>
        <v>0.13884900106936732</v>
      </c>
      <c r="S86" s="5">
        <f t="shared" si="5"/>
        <v>100</v>
      </c>
      <c r="T86" s="6">
        <f>IF(contexte=1,IF(nature="bi",0,NORMDIST(S86,mu_1,etxbarre,0)),IF(nature="bi",0,GAMMADIST(1,(n-1)/2,1,0)/(GAMMADIST(1,n/2,1,0)*SQRT((n-1)*PI())*(1+((S86-mu_1)/etxbarre)^2/(n-1))^(n/2))))</f>
        <v>0</v>
      </c>
    </row>
    <row r="87" spans="4:20" ht="12.75">
      <c r="D87" s="5">
        <f t="shared" si="8"/>
        <v>102.06864189246954</v>
      </c>
      <c r="E87" s="6">
        <f t="shared" si="0"/>
        <v>0.1291961818933487</v>
      </c>
      <c r="J87" s="5">
        <f t="shared" si="7"/>
        <v>100.06895472974915</v>
      </c>
      <c r="K87" s="6">
        <f t="shared" si="1"/>
        <v>0.1291961818933487</v>
      </c>
      <c r="M87" s="5">
        <f t="shared" si="9"/>
        <v>96.30878267544887</v>
      </c>
      <c r="N87" s="6">
        <v>0</v>
      </c>
      <c r="P87" s="5">
        <f>IF(nature="bi",P85+(point_crit_2-point_crit_1)/20,mu0)</f>
        <v>100.23121227295711</v>
      </c>
      <c r="Q87" s="6">
        <f>0</f>
        <v>0</v>
      </c>
      <c r="S87" s="5">
        <f t="shared" si="5"/>
        <v>100</v>
      </c>
      <c r="T87" s="6">
        <f>0</f>
        <v>0</v>
      </c>
    </row>
    <row r="88" spans="4:20" ht="12.75">
      <c r="D88" s="5">
        <f t="shared" si="8"/>
        <v>102.27550608171649</v>
      </c>
      <c r="E88" s="6">
        <f t="shared" si="0"/>
        <v>0.10270905494689941</v>
      </c>
      <c r="J88" s="5">
        <f t="shared" si="7"/>
        <v>100.2758189189961</v>
      </c>
      <c r="K88" s="6">
        <f t="shared" si="1"/>
        <v>0.10270905494689941</v>
      </c>
      <c r="M88" s="5">
        <f t="shared" si="9"/>
        <v>96.30878267544887</v>
      </c>
      <c r="N88" s="6">
        <f>IF(nature="bi",NORMDIST(M88,mu0,etxbarre,0),0)</f>
        <v>0.008048021850573298</v>
      </c>
      <c r="P88" s="5">
        <f>IF(nature="bi",P86+(point_crit_2-point_crit_1)/20,mu0)</f>
        <v>100.23121227295711</v>
      </c>
      <c r="Q88" s="6">
        <f>IF(contexte=1,IF(nature="bi",NORMDIST(P88,mu_1,etxbarre,0),0),IF(nature="bi",GAMMADIST(1,(n-1)/2,1,0)/(GAMMADIST(1,n/2,1,0)*SQRT((n-1)*PI())*(1+((P88-mu_1)/etxbarre)^2/(n-1))^(n/2)),0))</f>
        <v>0.10809803737622181</v>
      </c>
      <c r="S88" s="5">
        <f t="shared" si="5"/>
        <v>100</v>
      </c>
      <c r="T88" s="6">
        <f>IF(contexte=1,IF(nature="bi",0,NORMDIST(S88,mu_1,etxbarre,0)),IF(nature="bi",0,GAMMADIST(1,(n-1)/2,1,0)/(GAMMADIST(1,n/2,1,0)*SQRT((n-1)*PI())*(1+((S88-mu_1)/etxbarre)^2/(n-1))^(n/2))))</f>
        <v>0</v>
      </c>
    </row>
    <row r="89" spans="4:20" ht="12.75">
      <c r="D89" s="5">
        <f aca="true" t="shared" si="10" ref="D89:D97">D88+3*etxbarre/20</f>
        <v>102.48237027096343</v>
      </c>
      <c r="E89" s="6">
        <f t="shared" si="0"/>
        <v>0.08007874339818954</v>
      </c>
      <c r="J89" s="5">
        <f t="shared" si="7"/>
        <v>100.48268310824304</v>
      </c>
      <c r="K89" s="6">
        <f t="shared" si="1"/>
        <v>0.08007874339818954</v>
      </c>
      <c r="M89" s="5">
        <f t="shared" si="9"/>
        <v>95.895054296955</v>
      </c>
      <c r="N89" s="6">
        <v>0</v>
      </c>
      <c r="P89" s="5">
        <f aca="true" t="shared" si="11" ref="P89:P100">IF(nature="bi",P87+(point_crit_2-point_crit_1)/20,mu0)</f>
        <v>100.46242454591426</v>
      </c>
      <c r="Q89" s="6">
        <f>0</f>
        <v>0</v>
      </c>
      <c r="S89" s="5">
        <f t="shared" si="5"/>
        <v>100</v>
      </c>
      <c r="T89" s="6">
        <f>0</f>
        <v>0</v>
      </c>
    </row>
    <row r="90" spans="4:20" ht="12.75">
      <c r="D90" s="5">
        <f t="shared" si="10"/>
        <v>102.68923446021037</v>
      </c>
      <c r="E90" s="6">
        <f t="shared" si="0"/>
        <v>0.06126808002591133</v>
      </c>
      <c r="J90" s="5">
        <f t="shared" si="7"/>
        <v>100.68954729748998</v>
      </c>
      <c r="K90" s="6">
        <f t="shared" si="1"/>
        <v>0.06126808002591133</v>
      </c>
      <c r="M90" s="5">
        <f t="shared" si="9"/>
        <v>95.895054296955</v>
      </c>
      <c r="N90" s="6">
        <f>IF(nature="bi",NORMDIST(M90,mu0,etxbarre,0),0)</f>
        <v>0.003446850658547987</v>
      </c>
      <c r="P90" s="5">
        <f t="shared" si="11"/>
        <v>100.46242454591426</v>
      </c>
      <c r="Q90" s="6">
        <f>IF(contexte=1,IF(nature="bi",NORMDIST(P90,mu_1,etxbarre,0),0),IF(nature="bi",GAMMADIST(1,(n-1)/2,1,0)/(GAMMADIST(1,n/2,1,0)*SQRT((n-1)*PI())*(1+((P90-mu_1)/etxbarre)^2/(n-1))^(n/2)),0))</f>
        <v>0.08212377865944322</v>
      </c>
      <c r="S90" s="5">
        <f t="shared" si="5"/>
        <v>100</v>
      </c>
      <c r="T90" s="6">
        <f>IF(contexte=1,IF(nature="bi",0,NORMDIST(S90,mu_1,etxbarre,0)),IF(nature="bi",0,GAMMADIST(1,(n-1)/2,1,0)/(GAMMADIST(1,n/2,1,0)*SQRT((n-1)*PI())*(1+((S90-mu_1)/etxbarre)^2/(n-1))^(n/2))))</f>
        <v>0</v>
      </c>
    </row>
    <row r="91" spans="4:20" ht="12.75">
      <c r="D91" s="5">
        <f t="shared" si="10"/>
        <v>102.89609864945731</v>
      </c>
      <c r="E91" s="6">
        <f t="shared" si="0"/>
        <v>0.04602905735373497</v>
      </c>
      <c r="J91" s="5">
        <f aca="true" t="shared" si="12" ref="J91:J97">J90+3*etxbarre/20</f>
        <v>100.89641148673692</v>
      </c>
      <c r="K91" s="6">
        <f t="shared" si="1"/>
        <v>0.04602905735373497</v>
      </c>
      <c r="M91" s="5">
        <f>IF(nature="bi",point_crit_2+etxbarre/10,mu0)</f>
        <v>102.45003218906952</v>
      </c>
      <c r="N91" s="6">
        <v>0</v>
      </c>
      <c r="P91" s="5">
        <f t="shared" si="11"/>
        <v>100.69363681887141</v>
      </c>
      <c r="Q91" s="6">
        <f>0</f>
        <v>0</v>
      </c>
      <c r="S91" s="5">
        <f t="shared" si="5"/>
        <v>100</v>
      </c>
      <c r="T91" s="6">
        <f>0</f>
        <v>0</v>
      </c>
    </row>
    <row r="92" spans="4:20" ht="12.75">
      <c r="D92" s="5">
        <f t="shared" si="10"/>
        <v>103.10296283870426</v>
      </c>
      <c r="E92" s="6">
        <f t="shared" si="0"/>
        <v>0.03397764638066292</v>
      </c>
      <c r="J92" s="5">
        <f t="shared" si="12"/>
        <v>101.10327567598387</v>
      </c>
      <c r="K92" s="6">
        <f t="shared" si="1"/>
        <v>0.03397764638066292</v>
      </c>
      <c r="M92" s="5">
        <f>IF(nature="bi",point_crit_2+etxbarre/10,mu0)</f>
        <v>102.45003218906952</v>
      </c>
      <c r="N92" s="6">
        <f>IF(nature="bi",NORMDIST(M92,mu0,etxbarre,0),0)</f>
        <v>0.05969942739065476</v>
      </c>
      <c r="P92" s="5">
        <f t="shared" si="11"/>
        <v>100.69363681887141</v>
      </c>
      <c r="Q92" s="6">
        <f>IF(contexte=1,IF(nature="bi",NORMDIST(P92,mu_1,etxbarre,0),0),IF(nature="bi",GAMMADIST(1,(n-1)/2,1,0)/(GAMMADIST(1,n/2,1,0)*SQRT((n-1)*PI())*(1+((P92-mu_1)/etxbarre)^2/(n-1))^(n/2)),0))</f>
        <v>0.06093330691147394</v>
      </c>
      <c r="S92" s="5">
        <f t="shared" si="5"/>
        <v>100</v>
      </c>
      <c r="T92" s="6">
        <f>IF(contexte=1,IF(nature="bi",0,NORMDIST(S92,mu_1,etxbarre,0)),IF(nature="bi",0,GAMMADIST(1,(n-1)/2,1,0)/(GAMMADIST(1,n/2,1,0)*SQRT((n-1)*PI())*(1+((S92-mu_1)/etxbarre)^2/(n-1))^(n/2))))</f>
        <v>0</v>
      </c>
    </row>
    <row r="93" spans="4:20" ht="12.75">
      <c r="D93" s="5">
        <f t="shared" si="10"/>
        <v>103.3098270279512</v>
      </c>
      <c r="E93" s="6">
        <f t="shared" si="0"/>
        <v>0.024660982191562653</v>
      </c>
      <c r="J93" s="5">
        <f t="shared" si="12"/>
        <v>101.31013986523081</v>
      </c>
      <c r="K93" s="6">
        <f t="shared" si="1"/>
        <v>0.024660982191562653</v>
      </c>
      <c r="M93" s="5">
        <f aca="true" t="shared" si="13" ref="M93:M100">IF(nature="bi",M91+3*etxbarre/10,mu0)</f>
        <v>102.86376056756339</v>
      </c>
      <c r="N93" s="6">
        <v>0</v>
      </c>
      <c r="P93" s="5">
        <f t="shared" si="11"/>
        <v>100.92484909182856</v>
      </c>
      <c r="Q93" s="6">
        <f>0</f>
        <v>0</v>
      </c>
      <c r="S93" s="5">
        <f t="shared" si="5"/>
        <v>100</v>
      </c>
      <c r="T93" s="6">
        <f>0</f>
        <v>0</v>
      </c>
    </row>
    <row r="94" spans="4:20" ht="12.75">
      <c r="D94" s="5">
        <f t="shared" si="10"/>
        <v>103.51669121719814</v>
      </c>
      <c r="E94" s="6">
        <f t="shared" si="0"/>
        <v>0.017610952258110046</v>
      </c>
      <c r="J94" s="5">
        <f t="shared" si="12"/>
        <v>101.51700405447775</v>
      </c>
      <c r="K94" s="6">
        <f t="shared" si="1"/>
        <v>0.017610952258110046</v>
      </c>
      <c r="M94" s="5">
        <f t="shared" si="13"/>
        <v>102.86376056756339</v>
      </c>
      <c r="N94" s="6">
        <f>IF(nature="bi",NORMDIST(M94,mu0,etxbarre,0),0)</f>
        <v>0.03349368997271776</v>
      </c>
      <c r="P94" s="5">
        <f t="shared" si="11"/>
        <v>100.92484909182856</v>
      </c>
      <c r="Q94" s="6">
        <f>IF(contexte=1,IF(nature="bi",NORMDIST(P94,mu_1,etxbarre,0),0),IF(nature="bi",GAMMADIST(1,(n-1)/2,1,0)/(GAMMADIST(1,n/2,1,0)*SQRT((n-1)*PI())*(1+((P94-mu_1)/etxbarre)^2/(n-1))^(n/2)),0))</f>
        <v>0.044193091009392164</v>
      </c>
      <c r="S94" s="5">
        <f t="shared" si="5"/>
        <v>100</v>
      </c>
      <c r="T94" s="6">
        <f>IF(contexte=1,IF(nature="bi",0,NORMDIST(S94,mu_1,etxbarre,0)),IF(nature="bi",0,GAMMADIST(1,(n-1)/2,1,0)/(GAMMADIST(1,n/2,1,0)*SQRT((n-1)*PI())*(1+((S94-mu_1)/etxbarre)^2/(n-1))^(n/2))))</f>
        <v>0</v>
      </c>
    </row>
    <row r="95" spans="4:20" ht="12.75">
      <c r="D95" s="5">
        <f t="shared" si="10"/>
        <v>103.72355540644509</v>
      </c>
      <c r="E95" s="6">
        <f t="shared" si="0"/>
        <v>0.012382694520056248</v>
      </c>
      <c r="J95" s="5">
        <f t="shared" si="12"/>
        <v>101.7238682437247</v>
      </c>
      <c r="K95" s="6">
        <f t="shared" si="1"/>
        <v>0.012382694520056248</v>
      </c>
      <c r="M95" s="5">
        <f t="shared" si="13"/>
        <v>103.27748894605726</v>
      </c>
      <c r="N95" s="6">
        <v>0</v>
      </c>
      <c r="P95" s="5">
        <f t="shared" si="11"/>
        <v>101.15606136478571</v>
      </c>
      <c r="Q95" s="6">
        <f>0</f>
        <v>0</v>
      </c>
      <c r="S95" s="5">
        <f t="shared" si="5"/>
        <v>100</v>
      </c>
      <c r="T95" s="6">
        <f>0</f>
        <v>0</v>
      </c>
    </row>
    <row r="96" spans="4:20" ht="12.75">
      <c r="D96" s="5">
        <f t="shared" si="10"/>
        <v>103.93041959569203</v>
      </c>
      <c r="E96" s="6">
        <f t="shared" si="0"/>
        <v>0.00857859943062067</v>
      </c>
      <c r="J96" s="5">
        <f t="shared" si="12"/>
        <v>101.93073243297164</v>
      </c>
      <c r="K96" s="6">
        <f t="shared" si="1"/>
        <v>0.00857859943062067</v>
      </c>
      <c r="M96" s="5">
        <f t="shared" si="13"/>
        <v>103.27748894605726</v>
      </c>
      <c r="N96" s="6">
        <f>IF(nature="bi",NORMDIST(M96,mu0,etxbarre,0),0)</f>
        <v>0.017173915555224264</v>
      </c>
      <c r="P96" s="5">
        <f t="shared" si="11"/>
        <v>101.15606136478571</v>
      </c>
      <c r="Q96" s="6">
        <f>IF(contexte=1,IF(nature="bi",NORMDIST(P96,mu_1,etxbarre,0),0),IF(nature="bi",GAMMADIST(1,(n-1)/2,1,0)/(GAMMADIST(1,n/2,1,0)*SQRT((n-1)*PI())*(1+((P96-mu_1)/etxbarre)^2/(n-1))^(n/2)),0))</f>
        <v>0.03135913230588158</v>
      </c>
      <c r="S96" s="5">
        <f t="shared" si="5"/>
        <v>100</v>
      </c>
      <c r="T96" s="6">
        <f>IF(contexte=1,IF(nature="bi",0,NORMDIST(S96,mu_1,etxbarre,0)),IF(nature="bi",0,GAMMADIST(1,(n-1)/2,1,0)/(GAMMADIST(1,n/2,1,0)*SQRT((n-1)*PI())*(1+((S96-mu_1)/etxbarre)^2/(n-1))^(n/2))))</f>
        <v>0</v>
      </c>
    </row>
    <row r="97" spans="4:20" ht="13.5" thickBot="1">
      <c r="D97" s="7">
        <f t="shared" si="10"/>
        <v>104.13728378493897</v>
      </c>
      <c r="E97" s="6">
        <f t="shared" si="0"/>
        <v>0.005859986413270235</v>
      </c>
      <c r="J97" s="7">
        <f t="shared" si="12"/>
        <v>102.13759662221858</v>
      </c>
      <c r="K97" s="6">
        <f t="shared" si="1"/>
        <v>0.005859986413270235</v>
      </c>
      <c r="M97" s="5">
        <f t="shared" si="13"/>
        <v>103.69121732455113</v>
      </c>
      <c r="N97" s="6">
        <v>0</v>
      </c>
      <c r="P97" s="5">
        <f t="shared" si="11"/>
        <v>101.38727363774287</v>
      </c>
      <c r="Q97" s="6">
        <f>0</f>
        <v>0</v>
      </c>
      <c r="S97" s="5">
        <f t="shared" si="5"/>
        <v>100</v>
      </c>
      <c r="T97" s="6">
        <f>0</f>
        <v>0</v>
      </c>
    </row>
    <row r="98" spans="13:20" ht="12.75">
      <c r="M98" s="5">
        <f t="shared" si="13"/>
        <v>103.69121732455113</v>
      </c>
      <c r="N98" s="6">
        <f>IF(nature="bi",NORMDIST(M98,mu0,etxbarre,0),0)</f>
        <v>0.008048021850573298</v>
      </c>
      <c r="P98" s="5">
        <f t="shared" si="11"/>
        <v>101.38727363774287</v>
      </c>
      <c r="Q98" s="6">
        <f>IF(contexte=1,IF(nature="bi",NORMDIST(P98,mu_1,etxbarre,0),0),IF(nature="bi",GAMMADIST(1,(n-1)/2,1,0)/(GAMMADIST(1,n/2,1,0)*SQRT((n-1)*PI())*(1+((P98-mu_1)/etxbarre)^2/(n-1))^(n/2)),0))</f>
        <v>0.021791833542723096</v>
      </c>
      <c r="S98" s="5">
        <f t="shared" si="5"/>
        <v>100</v>
      </c>
      <c r="T98" s="6">
        <f>IF(contexte=1,IF(nature="bi",0,NORMDIST(S98,mu_1,etxbarre,0)),IF(nature="bi",0,GAMMADIST(1,(n-1)/2,1,0)/(GAMMADIST(1,n/2,1,0)*SQRT((n-1)*PI())*(1+((S98-mu_1)/etxbarre)^2/(n-1))^(n/2))))</f>
        <v>0</v>
      </c>
    </row>
    <row r="99" spans="13:20" ht="12.75">
      <c r="M99" s="5">
        <f t="shared" si="13"/>
        <v>104.104945703045</v>
      </c>
      <c r="N99" s="6">
        <v>0</v>
      </c>
      <c r="P99" s="5">
        <f t="shared" si="11"/>
        <v>101.61848591070002</v>
      </c>
      <c r="Q99" s="6">
        <f>0</f>
        <v>0</v>
      </c>
      <c r="S99" s="5">
        <f t="shared" si="5"/>
        <v>100</v>
      </c>
      <c r="T99" s="6">
        <f>0</f>
        <v>0</v>
      </c>
    </row>
    <row r="100" spans="13:20" ht="13.5" thickBot="1">
      <c r="M100" s="7">
        <f t="shared" si="13"/>
        <v>104.104945703045</v>
      </c>
      <c r="N100" s="8">
        <f>IF(nature="bi",NORMDIST(M100,mu0,etxbarre,0),0)</f>
        <v>0.003446850658547987</v>
      </c>
      <c r="P100" s="5">
        <f t="shared" si="11"/>
        <v>101.61848591070002</v>
      </c>
      <c r="Q100" s="6">
        <f>IF(contexte=1,IF(nature="bi",NORMDIST(P100,mu_1,etxbarre,0),0),IF(nature="bi",GAMMADIST(1,(n-1)/2,1,0)/(GAMMADIST(1,n/2,1,0)*SQRT((n-1)*PI())*(1+((P100-mu_1)/etxbarre)^2/(n-1))^(n/2)),0))</f>
        <v>0.014844453983629075</v>
      </c>
      <c r="S100" s="5">
        <f t="shared" si="5"/>
        <v>100</v>
      </c>
      <c r="T100" s="6">
        <f>IF(contexte=1,IF(nature="bi",0,NORMDIST(S100,mu_1,etxbarre,0)),IF(nature="bi",0,GAMMADIST(1,(n-1)/2,1,0)/(GAMMADIST(1,n/2,1,0)*SQRT((n-1)*PI())*(1+((S100-mu_1)/etxbarre)^2/(n-1))^(n/2))))</f>
        <v>0</v>
      </c>
    </row>
    <row r="101" spans="16:20" ht="12.75">
      <c r="P101" s="5">
        <f>IF(nature="bi",P99+(point_crit_2-point_crit_1)/20,mu0)</f>
        <v>101.84969818365717</v>
      </c>
      <c r="Q101" s="6">
        <f>0</f>
        <v>0</v>
      </c>
      <c r="S101" s="5">
        <f t="shared" si="5"/>
        <v>100</v>
      </c>
      <c r="T101" s="6">
        <f>0</f>
        <v>0</v>
      </c>
    </row>
    <row r="102" spans="16:20" ht="12.75">
      <c r="P102" s="5">
        <f>IF(nature="bi",P100+(point_crit_2-point_crit_1)/20,mu0)</f>
        <v>101.84969818365717</v>
      </c>
      <c r="Q102" s="6">
        <f>IF(contexte=1,IF(nature="bi",NORMDIST(P102,mu_1,etxbarre,0),0),IF(nature="bi",GAMMADIST(1,(n-1)/2,1,0)/(GAMMADIST(1,n/2,1,0)*SQRT((n-1)*PI())*(1+((P102-mu_1)/etxbarre)^2/(n-1))^(n/2)),0))</f>
        <v>0.009922098260267933</v>
      </c>
      <c r="S102" s="5">
        <f t="shared" si="5"/>
        <v>100</v>
      </c>
      <c r="T102" s="6">
        <f>IF(contexte=1,IF(nature="bi",0,NORMDIST(S102,mu_1,etxbarre,0)),IF(nature="bi",0,GAMMADIST(1,(n-1)/2,1,0)/(GAMMADIST(1,n/2,1,0)*SQRT((n-1)*PI())*(1+((S102-mu_1)/etxbarre)^2/(n-1))^(n/2))))</f>
        <v>0</v>
      </c>
    </row>
    <row r="103" spans="16:20" ht="12.75">
      <c r="P103" s="5">
        <f>IF(nature="bi",P101+(point_crit_2-point_crit_1)/20,mu0)</f>
        <v>102.08091045661432</v>
      </c>
      <c r="Q103" s="6">
        <f>0</f>
        <v>0</v>
      </c>
      <c r="S103" s="5">
        <f t="shared" si="5"/>
        <v>100</v>
      </c>
      <c r="T103" s="6">
        <f>0</f>
        <v>0</v>
      </c>
    </row>
    <row r="104" spans="16:20" ht="13.5" thickBot="1">
      <c r="P104" s="7">
        <f>IF(nature="bi",P102+(point_crit_2-point_crit_1)/20,mu0)</f>
        <v>102.08091045661432</v>
      </c>
      <c r="Q104" s="6">
        <f>IF(contexte=1,IF(nature="bi",NORMDIST(P104,mu_1,etxbarre,0),0),IF(nature="bi",GAMMADIST(1,(n-1)/2,1,0)/(GAMMADIST(1,n/2,1,0)*SQRT((n-1)*PI())*(1+((P104-mu_1)/etxbarre)^2/(n-1))^(n/2)),0))</f>
        <v>0.006513948113190498</v>
      </c>
      <c r="S104" s="7">
        <f t="shared" si="5"/>
        <v>100</v>
      </c>
      <c r="T104" s="6">
        <f>IF(contexte=1,IF(nature="bi",0,NORMDIST(S104,mu_1,etxbarre,0)),IF(nature="bi",0,GAMMADIST(1,(n-1)/2,1,0)/(GAMMADIST(1,n/2,1,0)*SQRT((n-1)*PI())*(1+((S104-mu_1)/etxbarre)^2/(n-1))^(n/2))))</f>
        <v>0</v>
      </c>
    </row>
  </sheetData>
  <mergeCells count="3">
    <mergeCell ref="F3:J3"/>
    <mergeCell ref="F4:J4"/>
    <mergeCell ref="F2:J2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r:id="rId6"/>
  <drawing r:id="rId5"/>
  <legacyDrawing r:id="rId4"/>
  <oleObjects>
    <oleObject progId="Equation.2" shapeId="403599" r:id="rId2"/>
    <oleObject progId="Equation.2" shapeId="88058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2:C74"/>
  <sheetViews>
    <sheetView workbookViewId="0" topLeftCell="A1">
      <selection activeCell="B12" sqref="B12"/>
    </sheetView>
  </sheetViews>
  <sheetFormatPr defaultColWidth="11.421875" defaultRowHeight="12.75"/>
  <sheetData>
    <row r="2" ht="12.75">
      <c r="B2" s="17" t="str">
        <f>nature</f>
        <v>bi</v>
      </c>
    </row>
    <row r="11" spans="1:3" ht="12.75">
      <c r="A11" s="1" t="s">
        <v>26</v>
      </c>
      <c r="B11" s="1" t="s">
        <v>4</v>
      </c>
      <c r="C11" s="1" t="s">
        <v>27</v>
      </c>
    </row>
    <row r="12" spans="1:3" ht="13.5" thickBot="1">
      <c r="A12" s="9">
        <f>IF(nature="droite",mu0-3*etxbarre,mu0-5*etxbarre)</f>
        <v>93.10452702510209</v>
      </c>
      <c r="B12" s="38">
        <f aca="true" t="shared" si="0" ref="B12:B43">IF(contexte=1,IF(nature="gauche",1-NORMDIST(point_crit_1,mualt,etxbarre,1),IF(nature="droite",NORMDIST(point_crit_2,mualt,etxbarre,1),NORMDIST(point_crit_2,mualt,etxbarre,1)-NORMDIST(point_crit_1,mualt,etxbarre,1))),IF(nature="gauche",1-Student((point_crit_1-mualt)/etxbarre,n-1,1),IF(nature="droite",Student((point_crit_2-mualt)/etxbarre,n-1,1),Student((point_crit_2-mualt)/etxbarre,n-1,1)-Student((point_crit_1-mualt)/etxbarre,n-1,1))))</f>
        <v>0.0008439421653747559</v>
      </c>
      <c r="C12" s="2">
        <f>1-B12</f>
        <v>0.9991560578346252</v>
      </c>
    </row>
    <row r="13" spans="1:3" ht="13.5" thickBot="1">
      <c r="A13" s="9">
        <f>IF(nature="bi",A12+5*etxbarre/20,A12+5*etxbarre/40)</f>
        <v>93.44930067384698</v>
      </c>
      <c r="B13" s="38">
        <f t="shared" si="0"/>
        <v>0.0017261505126953125</v>
      </c>
      <c r="C13" s="2">
        <f aca="true" t="shared" si="1" ref="C13:C33">1-B13</f>
        <v>0.9982738494873047</v>
      </c>
    </row>
    <row r="14" spans="1:3" ht="13.5" thickBot="1">
      <c r="A14" s="9">
        <f aca="true" t="shared" si="2" ref="A14:A29">IF(nature="bi",A13+5*etxbarre/20,A13+5*etxbarre/40)</f>
        <v>93.79407432259187</v>
      </c>
      <c r="B14" s="38">
        <f t="shared" si="0"/>
        <v>0.003424525260925293</v>
      </c>
      <c r="C14" s="2">
        <f t="shared" si="1"/>
        <v>0.9965754747390747</v>
      </c>
    </row>
    <row r="15" spans="1:3" ht="13.5" thickBot="1">
      <c r="A15" s="9">
        <f t="shared" si="2"/>
        <v>94.13884797133676</v>
      </c>
      <c r="B15" s="38">
        <f t="shared" si="0"/>
        <v>0.006572902202606201</v>
      </c>
      <c r="C15" s="2">
        <f t="shared" si="1"/>
        <v>0.9934270977973938</v>
      </c>
    </row>
    <row r="16" spans="1:3" ht="13.5" thickBot="1">
      <c r="A16" s="9">
        <f t="shared" si="2"/>
        <v>94.48362162008165</v>
      </c>
      <c r="B16" s="38">
        <f t="shared" si="0"/>
        <v>0.01217353343963623</v>
      </c>
      <c r="C16" s="2">
        <f t="shared" si="1"/>
        <v>0.9878264665603638</v>
      </c>
    </row>
    <row r="17" spans="1:3" ht="13.5" thickBot="1">
      <c r="A17" s="9">
        <f t="shared" si="2"/>
        <v>94.82839526882654</v>
      </c>
      <c r="B17" s="38">
        <f t="shared" si="0"/>
        <v>0.021703600883483887</v>
      </c>
      <c r="C17" s="2">
        <f t="shared" si="1"/>
        <v>0.9782963991165161</v>
      </c>
    </row>
    <row r="18" spans="1:3" ht="13.5" thickBot="1">
      <c r="A18" s="9">
        <f t="shared" si="2"/>
        <v>95.17316891757143</v>
      </c>
      <c r="B18" s="38">
        <f t="shared" si="0"/>
        <v>0.0371670126914978</v>
      </c>
      <c r="C18" s="2">
        <f t="shared" si="1"/>
        <v>0.9628329873085022</v>
      </c>
    </row>
    <row r="19" spans="1:3" ht="13.5" thickBot="1">
      <c r="A19" s="9">
        <f t="shared" si="2"/>
        <v>95.51794256631632</v>
      </c>
      <c r="B19" s="38">
        <f t="shared" si="0"/>
        <v>0.06102025508880615</v>
      </c>
      <c r="C19" s="2">
        <f t="shared" si="1"/>
        <v>0.9389797449111938</v>
      </c>
    </row>
    <row r="20" spans="1:3" ht="13.5" thickBot="1">
      <c r="A20" s="9">
        <f t="shared" si="2"/>
        <v>95.86271621506121</v>
      </c>
      <c r="B20" s="38">
        <f t="shared" si="0"/>
        <v>0.09590250253677368</v>
      </c>
      <c r="C20" s="2">
        <f t="shared" si="1"/>
        <v>0.9040974974632263</v>
      </c>
    </row>
    <row r="21" spans="1:3" ht="13.5" thickBot="1">
      <c r="A21" s="9">
        <f t="shared" si="2"/>
        <v>96.2074898638061</v>
      </c>
      <c r="B21" s="38">
        <f t="shared" si="0"/>
        <v>0.1441372036933899</v>
      </c>
      <c r="C21" s="2">
        <f t="shared" si="1"/>
        <v>0.8558627963066101</v>
      </c>
    </row>
    <row r="22" spans="1:3" ht="13.5" thickBot="1">
      <c r="A22" s="9">
        <f t="shared" si="2"/>
        <v>96.552263512551</v>
      </c>
      <c r="B22" s="38">
        <f t="shared" si="0"/>
        <v>0.2070608139038086</v>
      </c>
      <c r="C22" s="2">
        <f t="shared" si="1"/>
        <v>0.7929391860961914</v>
      </c>
    </row>
    <row r="23" spans="1:3" ht="13.5" thickBot="1">
      <c r="A23" s="9">
        <f t="shared" si="2"/>
        <v>96.89703716129588</v>
      </c>
      <c r="B23" s="38">
        <f t="shared" si="0"/>
        <v>0.2843470573425293</v>
      </c>
      <c r="C23" s="2">
        <f t="shared" si="1"/>
        <v>0.7156529426574707</v>
      </c>
    </row>
    <row r="24" spans="1:3" ht="13.5" thickBot="1">
      <c r="A24" s="9">
        <f t="shared" si="2"/>
        <v>97.24181081004077</v>
      </c>
      <c r="B24" s="38">
        <f t="shared" si="0"/>
        <v>0.3735727071762085</v>
      </c>
      <c r="C24" s="2">
        <f t="shared" si="1"/>
        <v>0.6264272928237915</v>
      </c>
    </row>
    <row r="25" spans="1:3" ht="13.5" thickBot="1">
      <c r="A25" s="9">
        <f t="shared" si="2"/>
        <v>97.58658445878567</v>
      </c>
      <c r="B25" s="38">
        <f t="shared" si="0"/>
        <v>0.47025084495544434</v>
      </c>
      <c r="C25" s="2">
        <f t="shared" si="1"/>
        <v>0.5297491550445557</v>
      </c>
    </row>
    <row r="26" spans="1:3" ht="13.5" thickBot="1">
      <c r="A26" s="9">
        <f t="shared" si="2"/>
        <v>97.93135810753056</v>
      </c>
      <c r="B26" s="38">
        <f t="shared" si="0"/>
        <v>0.5684160888195038</v>
      </c>
      <c r="C26" s="2">
        <f t="shared" si="1"/>
        <v>0.4315839111804962</v>
      </c>
    </row>
    <row r="27" spans="1:3" ht="13.5" thickBot="1">
      <c r="A27" s="9">
        <f t="shared" si="2"/>
        <v>98.27613175627545</v>
      </c>
      <c r="B27" s="38">
        <f t="shared" si="0"/>
        <v>0.66162109375</v>
      </c>
      <c r="C27" s="2">
        <f t="shared" si="1"/>
        <v>0.33837890625</v>
      </c>
    </row>
    <row r="28" spans="1:3" ht="13.5" thickBot="1">
      <c r="A28" s="9">
        <f t="shared" si="2"/>
        <v>98.62090540502034</v>
      </c>
      <c r="B28" s="38">
        <f t="shared" si="0"/>
        <v>0.744019627571106</v>
      </c>
      <c r="C28" s="2">
        <f t="shared" si="1"/>
        <v>0.25598037242889404</v>
      </c>
    </row>
    <row r="29" spans="1:3" ht="13.5" thickBot="1">
      <c r="A29" s="9">
        <f t="shared" si="2"/>
        <v>98.96567905376523</v>
      </c>
      <c r="B29" s="38">
        <f t="shared" si="0"/>
        <v>0.8111656010150909</v>
      </c>
      <c r="C29" s="2">
        <f t="shared" si="1"/>
        <v>0.18883439898490906</v>
      </c>
    </row>
    <row r="30" spans="1:3" ht="13.5" thickBot="1">
      <c r="A30" s="9">
        <f aca="true" t="shared" si="3" ref="A30:A45">IF(nature="bi",A29+5*etxbarre/20,A29+5*etxbarre/40)</f>
        <v>99.31045270251012</v>
      </c>
      <c r="B30" s="38">
        <f t="shared" si="0"/>
        <v>0.8602894172072411</v>
      </c>
      <c r="C30" s="2">
        <f t="shared" si="1"/>
        <v>0.13971058279275894</v>
      </c>
    </row>
    <row r="31" spans="1:3" ht="13.5" thickBot="1">
      <c r="A31" s="9">
        <f t="shared" si="3"/>
        <v>99.65522635125501</v>
      </c>
      <c r="B31" s="38">
        <f t="shared" si="0"/>
        <v>0.8900519236922264</v>
      </c>
      <c r="C31" s="2">
        <f t="shared" si="1"/>
        <v>0.10994807630777359</v>
      </c>
    </row>
    <row r="32" spans="1:3" ht="13.5" thickBot="1">
      <c r="A32" s="9">
        <f t="shared" si="3"/>
        <v>99.9999999999999</v>
      </c>
      <c r="B32" s="38">
        <f t="shared" si="0"/>
        <v>0.9000000804662704</v>
      </c>
      <c r="C32" s="2">
        <f t="shared" si="1"/>
        <v>0.09999991953372955</v>
      </c>
    </row>
    <row r="33" spans="1:3" ht="13.5" thickBot="1">
      <c r="A33" s="9">
        <f t="shared" si="3"/>
        <v>100.34477364874479</v>
      </c>
      <c r="B33" s="38">
        <f t="shared" si="0"/>
        <v>0.8900519032031298</v>
      </c>
      <c r="C33" s="2">
        <f t="shared" si="1"/>
        <v>0.10994809679687023</v>
      </c>
    </row>
    <row r="34" spans="1:3" ht="13.5" thickBot="1">
      <c r="A34" s="9">
        <f t="shared" si="3"/>
        <v>100.68954729748968</v>
      </c>
      <c r="B34" s="38">
        <f t="shared" si="0"/>
        <v>0.8602893687784672</v>
      </c>
      <c r="C34" s="2">
        <f aca="true" t="shared" si="4" ref="C34:C49">1-B34</f>
        <v>0.13971063122153282</v>
      </c>
    </row>
    <row r="35" spans="1:3" ht="13.5" thickBot="1">
      <c r="A35" s="9">
        <f t="shared" si="3"/>
        <v>101.03432094623457</v>
      </c>
      <c r="B35" s="38">
        <f t="shared" si="0"/>
        <v>0.8111656121909618</v>
      </c>
      <c r="C35" s="2">
        <f t="shared" si="4"/>
        <v>0.18883438780903816</v>
      </c>
    </row>
    <row r="36" spans="1:3" ht="13.5" thickBot="1">
      <c r="A36" s="9">
        <f t="shared" si="3"/>
        <v>101.37909459497946</v>
      </c>
      <c r="B36" s="38">
        <f t="shared" si="0"/>
        <v>0.7440196089446545</v>
      </c>
      <c r="C36" s="2">
        <f t="shared" si="4"/>
        <v>0.25598039105534554</v>
      </c>
    </row>
    <row r="37" spans="1:3" ht="13.5" thickBot="1">
      <c r="A37" s="9">
        <f t="shared" si="3"/>
        <v>101.72386824372435</v>
      </c>
      <c r="B37" s="38">
        <f t="shared" si="0"/>
        <v>0.6616210776846856</v>
      </c>
      <c r="C37" s="2">
        <f t="shared" si="4"/>
        <v>0.3383789223153144</v>
      </c>
    </row>
    <row r="38" spans="1:3" ht="13.5" thickBot="1">
      <c r="A38" s="9">
        <f t="shared" si="3"/>
        <v>102.06864189246924</v>
      </c>
      <c r="B38" s="38">
        <f t="shared" si="0"/>
        <v>0.5684160650707781</v>
      </c>
      <c r="C38" s="2">
        <f t="shared" si="4"/>
        <v>0.43158393492922187</v>
      </c>
    </row>
    <row r="39" spans="1:3" ht="13.5" thickBot="1">
      <c r="A39" s="9">
        <f t="shared" si="3"/>
        <v>102.41341554121414</v>
      </c>
      <c r="B39" s="38">
        <f t="shared" si="0"/>
        <v>0.47025086014764383</v>
      </c>
      <c r="C39" s="2">
        <f t="shared" si="4"/>
        <v>0.5297491398523562</v>
      </c>
    </row>
    <row r="40" spans="1:3" ht="13.5" thickBot="1">
      <c r="A40" s="9">
        <f t="shared" si="3"/>
        <v>102.75818918995903</v>
      </c>
      <c r="B40" s="38">
        <f t="shared" si="0"/>
        <v>0.3735726933227852</v>
      </c>
      <c r="C40" s="2">
        <f t="shared" si="4"/>
        <v>0.6264273066772148</v>
      </c>
    </row>
    <row r="41" spans="1:3" ht="13.5" thickBot="1">
      <c r="A41" s="9">
        <f t="shared" si="3"/>
        <v>103.10296283870392</v>
      </c>
      <c r="B41" s="38">
        <f t="shared" si="0"/>
        <v>0.2843470904190326</v>
      </c>
      <c r="C41" s="2">
        <f t="shared" si="4"/>
        <v>0.7156529095809674</v>
      </c>
    </row>
    <row r="42" spans="1:3" ht="13.5" thickBot="1">
      <c r="A42" s="9">
        <f t="shared" si="3"/>
        <v>103.44773648744881</v>
      </c>
      <c r="B42" s="38">
        <f t="shared" si="0"/>
        <v>0.20706079039882752</v>
      </c>
      <c r="C42" s="2">
        <f t="shared" si="4"/>
        <v>0.7929392096011725</v>
      </c>
    </row>
    <row r="43" spans="1:3" ht="13.5" thickBot="1">
      <c r="A43" s="9">
        <f t="shared" si="3"/>
        <v>103.7925101361937</v>
      </c>
      <c r="B43" s="38">
        <f t="shared" si="0"/>
        <v>0.1441372099907312</v>
      </c>
      <c r="C43" s="2">
        <f t="shared" si="4"/>
        <v>0.8558627900092688</v>
      </c>
    </row>
    <row r="44" spans="1:3" ht="13.5" thickBot="1">
      <c r="A44" s="9">
        <f t="shared" si="3"/>
        <v>104.13728378493859</v>
      </c>
      <c r="B44" s="38">
        <f aca="true" t="shared" si="5" ref="B44:B72">IF(contexte=1,IF(nature="gauche",1-NORMDIST(point_crit_1,mualt,etxbarre,1),IF(nature="droite",NORMDIST(point_crit_2,mualt,etxbarre,1),NORMDIST(point_crit_2,mualt,etxbarre,1)-NORMDIST(point_crit_1,mualt,etxbarre,1))),IF(nature="gauche",1-Student((point_crit_1-mualt)/etxbarre,n-1,1),IF(nature="droite",Student((point_crit_2-mualt)/etxbarre,n-1,1),Student((point_crit_2-mualt)/etxbarre,n-1,1)-Student((point_crit_1-mualt)/etxbarre,n-1,1))))</f>
        <v>0.09590250449673476</v>
      </c>
      <c r="C44" s="2">
        <f t="shared" si="4"/>
        <v>0.9040974955032652</v>
      </c>
    </row>
    <row r="45" spans="1:3" ht="13.5" thickBot="1">
      <c r="A45" s="9">
        <f t="shared" si="3"/>
        <v>104.48205743368348</v>
      </c>
      <c r="B45" s="38">
        <f t="shared" si="5"/>
        <v>0.06102020230173366</v>
      </c>
      <c r="C45" s="2">
        <f t="shared" si="4"/>
        <v>0.9389797976982663</v>
      </c>
    </row>
    <row r="46" spans="1:3" ht="13.5" thickBot="1">
      <c r="A46" s="9">
        <f aca="true" t="shared" si="6" ref="A46:A52">IF(nature="bi",A45+5*etxbarre/20,A45+5*etxbarre/40)</f>
        <v>104.82683108242837</v>
      </c>
      <c r="B46" s="38">
        <f t="shared" si="5"/>
        <v>0.03716698226162407</v>
      </c>
      <c r="C46" s="2">
        <f t="shared" si="4"/>
        <v>0.9628330177383759</v>
      </c>
    </row>
    <row r="47" spans="1:3" ht="13.5" thickBot="1">
      <c r="A47" s="9">
        <f t="shared" si="6"/>
        <v>105.17160473117326</v>
      </c>
      <c r="B47" s="38">
        <f t="shared" si="5"/>
        <v>0.021703634670814154</v>
      </c>
      <c r="C47" s="2">
        <f t="shared" si="4"/>
        <v>0.9782963653291858</v>
      </c>
    </row>
    <row r="48" spans="1:3" ht="13.5" thickBot="1">
      <c r="A48" s="9">
        <f t="shared" si="6"/>
        <v>105.51637837991815</v>
      </c>
      <c r="B48" s="38">
        <f t="shared" si="5"/>
        <v>0.01217352204437816</v>
      </c>
      <c r="C48" s="2">
        <f t="shared" si="4"/>
        <v>0.9878264779556218</v>
      </c>
    </row>
    <row r="49" spans="1:3" ht="13.5" thickBot="1">
      <c r="A49" s="9">
        <f t="shared" si="6"/>
        <v>105.86115202866304</v>
      </c>
      <c r="B49" s="38">
        <f t="shared" si="5"/>
        <v>0.0065729059122645594</v>
      </c>
      <c r="C49" s="2">
        <f t="shared" si="4"/>
        <v>0.9934270940877354</v>
      </c>
    </row>
    <row r="50" spans="1:3" ht="13.5" thickBot="1">
      <c r="A50" s="9">
        <f t="shared" si="6"/>
        <v>106.20592567740793</v>
      </c>
      <c r="B50" s="38">
        <f t="shared" si="5"/>
        <v>0.0034245502998757615</v>
      </c>
      <c r="C50" s="2">
        <f>1-B50</f>
        <v>0.9965754497001242</v>
      </c>
    </row>
    <row r="51" spans="1:3" ht="13.5" thickBot="1">
      <c r="A51" s="9">
        <f t="shared" si="6"/>
        <v>106.55069932615282</v>
      </c>
      <c r="B51" s="38">
        <f t="shared" si="5"/>
        <v>0.0017261213601820202</v>
      </c>
      <c r="C51" s="2">
        <f>1-B51</f>
        <v>0.998273878639818</v>
      </c>
    </row>
    <row r="52" spans="1:3" ht="13.5" thickBot="1">
      <c r="A52" s="9">
        <f t="shared" si="6"/>
        <v>106.89547297489771</v>
      </c>
      <c r="B52" s="38">
        <f t="shared" si="5"/>
        <v>0.0008439559779525041</v>
      </c>
      <c r="C52" s="2">
        <f>1-B52</f>
        <v>0.9991560440220475</v>
      </c>
    </row>
    <row r="53" spans="1:3" ht="13.5" thickBot="1">
      <c r="A53" s="9">
        <f aca="true" t="shared" si="7" ref="A53:A62">IF(nature="bi",A52+5*etxbarre/20,A52+5*etxbarre/40)</f>
        <v>107.2402466236426</v>
      </c>
      <c r="B53" s="38">
        <f t="shared" si="5"/>
        <v>0.0004013533441953321</v>
      </c>
      <c r="C53" s="2">
        <f aca="true" t="shared" si="8" ref="C53:C72">1-B53</f>
        <v>0.9995986466558047</v>
      </c>
    </row>
    <row r="54" spans="1:3" ht="13.5" thickBot="1">
      <c r="A54" s="9">
        <f t="shared" si="7"/>
        <v>107.5850202723875</v>
      </c>
      <c r="B54" s="38">
        <f t="shared" si="5"/>
        <v>0.00018615276375621992</v>
      </c>
      <c r="C54" s="2">
        <f t="shared" si="8"/>
        <v>0.9998138472362438</v>
      </c>
    </row>
    <row r="55" spans="1:3" ht="13.5" thickBot="1">
      <c r="A55" s="9">
        <f t="shared" si="7"/>
        <v>107.92979392113239</v>
      </c>
      <c r="B55" s="38">
        <f t="shared" si="5"/>
        <v>8.443190141532719E-05</v>
      </c>
      <c r="C55" s="2">
        <f t="shared" si="8"/>
        <v>0.9999155680985847</v>
      </c>
    </row>
    <row r="56" spans="1:3" ht="13.5" thickBot="1">
      <c r="A56" s="9">
        <f t="shared" si="7"/>
        <v>108.27456756987728</v>
      </c>
      <c r="B56" s="38">
        <f t="shared" si="5"/>
        <v>3.7546170421981495E-05</v>
      </c>
      <c r="C56" s="2">
        <f t="shared" si="8"/>
        <v>0.999962453829578</v>
      </c>
    </row>
    <row r="57" spans="1:3" ht="13.5" thickBot="1">
      <c r="A57" s="9">
        <f t="shared" si="7"/>
        <v>108.61934121862217</v>
      </c>
      <c r="B57" s="38">
        <f t="shared" si="5"/>
        <v>1.6410884159295813E-05</v>
      </c>
      <c r="C57" s="2">
        <f t="shared" si="8"/>
        <v>0.9999835891158407</v>
      </c>
    </row>
    <row r="58" spans="1:3" ht="13.5" thickBot="1">
      <c r="A58" s="9">
        <f t="shared" si="7"/>
        <v>108.96411486736706</v>
      </c>
      <c r="B58" s="38">
        <f t="shared" si="5"/>
        <v>7.067088984718389E-06</v>
      </c>
      <c r="C58" s="2">
        <f t="shared" si="8"/>
        <v>0.9999929329110153</v>
      </c>
    </row>
    <row r="59" spans="1:3" ht="13.5" thickBot="1">
      <c r="A59" s="9">
        <f t="shared" si="7"/>
        <v>109.30888851611195</v>
      </c>
      <c r="B59" s="38">
        <f t="shared" si="5"/>
        <v>3.0051789348065766E-06</v>
      </c>
      <c r="C59" s="2">
        <f t="shared" si="8"/>
        <v>0.9999969948210652</v>
      </c>
    </row>
    <row r="60" spans="1:3" ht="13.5" thickBot="1">
      <c r="A60" s="9">
        <f t="shared" si="7"/>
        <v>109.65366216485684</v>
      </c>
      <c r="B60" s="38">
        <f t="shared" si="5"/>
        <v>1.2645625600609875E-06</v>
      </c>
      <c r="C60" s="2">
        <f t="shared" si="8"/>
        <v>0.9999987354374399</v>
      </c>
    </row>
    <row r="61" spans="1:3" ht="13.5" thickBot="1">
      <c r="A61" s="9">
        <f t="shared" si="7"/>
        <v>109.99843581360173</v>
      </c>
      <c r="B61" s="38">
        <f t="shared" si="5"/>
        <v>5.276034048848181E-07</v>
      </c>
      <c r="C61" s="2">
        <f t="shared" si="8"/>
        <v>0.9999994723965951</v>
      </c>
    </row>
    <row r="62" spans="1:3" ht="13.5" thickBot="1">
      <c r="A62" s="9">
        <f t="shared" si="7"/>
        <v>110.34320946234662</v>
      </c>
      <c r="B62" s="38">
        <f t="shared" si="5"/>
        <v>2.1865862208196585E-07</v>
      </c>
      <c r="C62" s="2">
        <f t="shared" si="8"/>
        <v>0.9999997813413779</v>
      </c>
    </row>
    <row r="63" spans="1:3" ht="13.5" thickBot="1">
      <c r="A63" s="9">
        <f aca="true" t="shared" si="9" ref="A63:A72">IF(nature="bi",A62+5*etxbarre/20,A62+5*etxbarre/40)</f>
        <v>110.68798311109151</v>
      </c>
      <c r="B63" s="38">
        <f t="shared" si="5"/>
        <v>9.016744037553719E-08</v>
      </c>
      <c r="C63" s="2">
        <f t="shared" si="8"/>
        <v>0.9999999098325596</v>
      </c>
    </row>
    <row r="64" spans="1:3" ht="13.5" thickBot="1">
      <c r="A64" s="9">
        <f t="shared" si="9"/>
        <v>111.0327567598364</v>
      </c>
      <c r="B64" s="38">
        <f t="shared" si="5"/>
        <v>3.705343436632004E-08</v>
      </c>
      <c r="C64" s="2">
        <f t="shared" si="8"/>
        <v>0.9999999629465657</v>
      </c>
    </row>
    <row r="65" spans="1:3" ht="13.5" thickBot="1">
      <c r="A65" s="9">
        <f t="shared" si="9"/>
        <v>111.3775304085813</v>
      </c>
      <c r="B65" s="38">
        <f t="shared" si="5"/>
        <v>1.5195522466427943E-08</v>
      </c>
      <c r="C65" s="2">
        <f t="shared" si="8"/>
        <v>0.9999999848044775</v>
      </c>
    </row>
    <row r="66" spans="1:3" ht="13.5" thickBot="1">
      <c r="A66" s="9">
        <f t="shared" si="9"/>
        <v>111.72230405732618</v>
      </c>
      <c r="B66" s="38">
        <f t="shared" si="5"/>
        <v>6.226840654322783E-09</v>
      </c>
      <c r="C66" s="2">
        <f t="shared" si="8"/>
        <v>0.9999999937731593</v>
      </c>
    </row>
    <row r="67" spans="1:3" ht="13.5" thickBot="1">
      <c r="A67" s="9">
        <f t="shared" si="9"/>
        <v>112.06707770607107</v>
      </c>
      <c r="B67" s="38">
        <f t="shared" si="5"/>
        <v>2.552631831447959E-09</v>
      </c>
      <c r="C67" s="2">
        <f t="shared" si="8"/>
        <v>0.9999999974473681</v>
      </c>
    </row>
    <row r="68" spans="1:3" ht="13.5" thickBot="1">
      <c r="A68" s="9">
        <f t="shared" si="9"/>
        <v>112.41185135481597</v>
      </c>
      <c r="B68" s="38">
        <f t="shared" si="5"/>
        <v>1.0479246725402023E-09</v>
      </c>
      <c r="C68" s="2">
        <f t="shared" si="8"/>
        <v>0.9999999989520754</v>
      </c>
    </row>
    <row r="69" spans="1:3" ht="13.5" thickBot="1">
      <c r="A69" s="9">
        <f t="shared" si="9"/>
        <v>112.75662500356086</v>
      </c>
      <c r="B69" s="38">
        <f t="shared" si="5"/>
        <v>4.312207415766998E-10</v>
      </c>
      <c r="C69" s="2">
        <f t="shared" si="8"/>
        <v>0.9999999995687793</v>
      </c>
    </row>
    <row r="70" spans="1:3" ht="13.5" thickBot="1">
      <c r="A70" s="9">
        <f t="shared" si="9"/>
        <v>113.10139865230575</v>
      </c>
      <c r="B70" s="38">
        <f t="shared" si="5"/>
        <v>1.7801618518818487E-10</v>
      </c>
      <c r="C70" s="2">
        <f t="shared" si="8"/>
        <v>0.9999999998219838</v>
      </c>
    </row>
    <row r="71" spans="1:3" ht="13.5" thickBot="1">
      <c r="A71" s="9">
        <f t="shared" si="9"/>
        <v>113.44617230105064</v>
      </c>
      <c r="B71" s="38">
        <f t="shared" si="5"/>
        <v>7.377872316863922E-11</v>
      </c>
      <c r="C71" s="2">
        <f t="shared" si="8"/>
        <v>0.9999999999262212</v>
      </c>
    </row>
    <row r="72" spans="1:3" ht="13.5" thickBot="1">
      <c r="A72" s="9">
        <f t="shared" si="9"/>
        <v>113.79094594979553</v>
      </c>
      <c r="B72" s="38">
        <f t="shared" si="5"/>
        <v>3.0718572591669886E-11</v>
      </c>
      <c r="C72" s="2">
        <f t="shared" si="8"/>
        <v>0.9999999999692815</v>
      </c>
    </row>
    <row r="73" ht="12.75">
      <c r="A73" s="9"/>
    </row>
    <row r="74" ht="12.75">
      <c r="A74" s="9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Blais</dc:creator>
  <cp:keywords/>
  <dc:description/>
  <cp:lastModifiedBy>Claude Blais</cp:lastModifiedBy>
  <cp:lastPrinted>2000-03-28T19:05:57Z</cp:lastPrinted>
  <dcterms:created xsi:type="dcterms:W3CDTF">1998-11-03T20:52:24Z</dcterms:created>
  <dcterms:modified xsi:type="dcterms:W3CDTF">2004-06-21T19:07:46Z</dcterms:modified>
  <cp:category/>
  <cp:version/>
  <cp:contentType/>
  <cp:contentStatus/>
</cp:coreProperties>
</file>