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870" activeTab="1"/>
  </bookViews>
  <sheets>
    <sheet name="Contexte" sheetId="1" r:id="rId1"/>
    <sheet name="TestVariance" sheetId="2" r:id="rId2"/>
    <sheet name="Graphe efficacité" sheetId="3" state="hidden" r:id="rId3"/>
  </sheets>
  <definedNames>
    <definedName name="alpha">'TestVariance'!$D$10</definedName>
    <definedName name="anim">'TestVariance'!$E$42</definedName>
    <definedName name="cas">'TestVariance'!$E$41</definedName>
    <definedName name="chi1">'TestVariance'!$D$18</definedName>
    <definedName name="chi2">'TestVariance'!$D$17</definedName>
    <definedName name="ect0">'TestVariance'!$E$37</definedName>
    <definedName name="ect1">'TestVariance'!$F$37</definedName>
    <definedName name="max">'TestVariance'!$S$48</definedName>
    <definedName name="min">'TestVariance'!$S$47</definedName>
    <definedName name="n">'TestVariance'!$D$11</definedName>
    <definedName name="nature">'TestVariance'!$D$7</definedName>
    <definedName name="npop">'TestVariance'!$D$12</definedName>
    <definedName name="point_crit_1">'TestVariance'!$F$5</definedName>
    <definedName name="point_crit_2">'TestVariance'!$J$5</definedName>
    <definedName name="solver_adj" localSheetId="1" hidden="1">'TestVariance'!$D$11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'TestVariance'!$M$6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0.05</definedName>
    <definedName name="var0">'TestVariance'!$D$9</definedName>
    <definedName name="var1">'TestVariance'!$L$4</definedName>
    <definedName name="var2">'TestVariance'!$L$6</definedName>
  </definedNames>
  <calcPr fullCalcOnLoad="1"/>
</workbook>
</file>

<file path=xl/comments2.xml><?xml version="1.0" encoding="utf-8"?>
<comments xmlns="http://schemas.openxmlformats.org/spreadsheetml/2006/main">
  <authors>
    <author>SEG</author>
  </authors>
  <commentList>
    <comment ref="D9" authorId="0">
      <text>
        <r>
          <rPr>
            <b/>
            <sz val="8"/>
            <rFont val="Tahoma"/>
            <family val="0"/>
          </rPr>
          <t xml:space="preserve">Inscrire la valeur de la l'écart-type </t>
        </r>
        <r>
          <rPr>
            <sz val="8"/>
            <rFont val="Symbol"/>
            <family val="1"/>
          </rPr>
          <t>s</t>
        </r>
        <r>
          <rPr>
            <b/>
            <vertAlign val="subscript"/>
            <sz val="8"/>
            <rFont val="Tahoma"/>
            <family val="2"/>
          </rPr>
          <t>0</t>
        </r>
        <r>
          <rPr>
            <b/>
            <sz val="8"/>
            <rFont val="Tahoma"/>
            <family val="0"/>
          </rPr>
          <t xml:space="preserve"> .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Inscrire la valeur du seuil de signification </t>
        </r>
        <r>
          <rPr>
            <sz val="8"/>
            <rFont val="Symbol"/>
            <family val="1"/>
          </rPr>
          <t>a</t>
        </r>
        <r>
          <rPr>
            <b/>
            <sz val="8"/>
            <rFont val="Tahoma"/>
            <family val="0"/>
          </rPr>
          <t xml:space="preserve"> .</t>
        </r>
      </text>
    </comment>
    <comment ref="D11" authorId="0">
      <text>
        <r>
          <rPr>
            <b/>
            <sz val="8"/>
            <rFont val="Tahoma"/>
            <family val="0"/>
          </rPr>
          <t xml:space="preserve">Inscrire la valeur de la taille de l'échantillon </t>
        </r>
        <r>
          <rPr>
            <b/>
            <i/>
            <sz val="8"/>
            <rFont val="Tahoma"/>
            <family val="2"/>
          </rPr>
          <t>n</t>
        </r>
        <r>
          <rPr>
            <b/>
            <sz val="8"/>
            <rFont val="Tahoma"/>
            <family val="0"/>
          </rPr>
          <t xml:space="preserve"> .</t>
        </r>
      </text>
    </comment>
    <comment ref="D7" authorId="0">
      <text>
        <r>
          <rPr>
            <b/>
            <sz val="8"/>
            <rFont val="Tahoma"/>
            <family val="0"/>
          </rPr>
          <t>Sélectionner ici à l'aide de la barre l'hypothèse alternative.</t>
        </r>
      </text>
    </comment>
    <comment ref="L6" authorId="0">
      <text>
        <r>
          <rPr>
            <b/>
            <sz val="8"/>
            <rFont val="Tahoma"/>
            <family val="0"/>
          </rPr>
          <t xml:space="preserve">Inscrire une valeur alternative </t>
        </r>
        <r>
          <rPr>
            <b/>
            <sz val="8"/>
            <rFont val="Symbol"/>
            <family val="1"/>
          </rPr>
          <t>s</t>
        </r>
        <r>
          <rPr>
            <b/>
            <vertAlign val="subscript"/>
            <sz val="8"/>
            <rFont val="Tahoma"/>
            <family val="2"/>
          </rPr>
          <t>1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b/>
            <sz val="8"/>
            <rFont val="Tahoma"/>
            <family val="0"/>
          </rPr>
          <t xml:space="preserve"> de la variance.</t>
        </r>
      </text>
    </comment>
  </commentList>
</comments>
</file>

<file path=xl/sharedStrings.xml><?xml version="1.0" encoding="utf-8"?>
<sst xmlns="http://schemas.openxmlformats.org/spreadsheetml/2006/main" count="49" uniqueCount="40">
  <si>
    <t>Les hypothèses testées:</t>
  </si>
  <si>
    <t xml:space="preserve">Règle de décision:  </t>
  </si>
  <si>
    <t>Efficacité</t>
  </si>
  <si>
    <t>Puissance</t>
  </si>
  <si>
    <t>b</t>
  </si>
  <si>
    <r>
      <t>1</t>
    </r>
    <r>
      <rPr>
        <sz val="10"/>
        <color indexed="32"/>
        <rFont val="Symbol"/>
        <family val="1"/>
      </rPr>
      <t>-b</t>
    </r>
  </si>
  <si>
    <r>
      <t>H</t>
    </r>
    <r>
      <rPr>
        <b/>
        <vertAlign val="subscript"/>
        <sz val="10"/>
        <color indexed="12"/>
        <rFont val="Arial"/>
        <family val="2"/>
      </rPr>
      <t>0</t>
    </r>
    <r>
      <rPr>
        <b/>
        <sz val="10"/>
        <color indexed="12"/>
        <rFont val="Arial"/>
        <family val="2"/>
      </rPr>
      <t xml:space="preserve"> :</t>
    </r>
  </si>
  <si>
    <r>
      <t>H</t>
    </r>
    <r>
      <rPr>
        <b/>
        <vertAlign val="sub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 xml:space="preserve"> :</t>
    </r>
  </si>
  <si>
    <t>Compteurs</t>
  </si>
  <si>
    <t>Dessin loi</t>
  </si>
  <si>
    <t>Dessin points critiques</t>
  </si>
  <si>
    <t>Point max</t>
  </si>
  <si>
    <t>sous H0</t>
  </si>
  <si>
    <t>sous H1</t>
  </si>
  <si>
    <t>minimum</t>
  </si>
  <si>
    <t>maximum</t>
  </si>
  <si>
    <t>Dessin seuil de</t>
  </si>
  <si>
    <t>signification</t>
  </si>
  <si>
    <t>G ou D</t>
  </si>
  <si>
    <t>Dessin efficacité</t>
  </si>
  <si>
    <t>cas: BI</t>
  </si>
  <si>
    <t>cas: G ou D</t>
  </si>
  <si>
    <t>BI</t>
  </si>
  <si>
    <t>1-b</t>
  </si>
  <si>
    <t>Variation de</t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</si>
  <si>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est </t>
    </r>
    <r>
      <rPr>
        <b/>
        <u val="single"/>
        <sz val="10"/>
        <rFont val="Arial"/>
        <family val="2"/>
      </rPr>
      <t>acceptée</t>
    </r>
    <r>
      <rPr>
        <b/>
        <sz val="10"/>
        <rFont val="Arial"/>
        <family val="2"/>
      </rPr>
      <t xml:space="preserve"> si :</t>
    </r>
  </si>
  <si>
    <t>Nature du test</t>
  </si>
  <si>
    <t>=</t>
  </si>
  <si>
    <r>
      <t>s</t>
    </r>
    <r>
      <rPr>
        <b/>
        <vertAlign val="superscript"/>
        <sz val="10"/>
        <color indexed="12"/>
        <rFont val="Symbol"/>
        <family val="1"/>
      </rPr>
      <t>2</t>
    </r>
  </si>
  <si>
    <t xml:space="preserve"> =</t>
  </si>
  <si>
    <t>a</t>
  </si>
  <si>
    <t>n</t>
  </si>
  <si>
    <r>
      <t>s</t>
    </r>
    <r>
      <rPr>
        <b/>
        <vertAlign val="subscript"/>
        <sz val="10"/>
        <color indexed="10"/>
        <rFont val="Arial"/>
        <family val="2"/>
      </rPr>
      <t>0</t>
    </r>
  </si>
  <si>
    <t>Valeurs critiques</t>
  </si>
  <si>
    <r>
      <t>S</t>
    </r>
    <r>
      <rPr>
        <vertAlign val="superscript"/>
        <sz val="10"/>
        <rFont val="Arial"/>
        <family val="2"/>
      </rPr>
      <t>2</t>
    </r>
  </si>
  <si>
    <t>Var. réelle</t>
  </si>
  <si>
    <r>
      <t>s</t>
    </r>
    <r>
      <rPr>
        <vertAlign val="subscript"/>
        <sz val="10"/>
        <color indexed="58"/>
        <rFont val="Arial"/>
        <family val="2"/>
      </rPr>
      <t>1</t>
    </r>
    <r>
      <rPr>
        <vertAlign val="superscript"/>
        <sz val="10"/>
        <color indexed="58"/>
        <rFont val="Arial"/>
        <family val="2"/>
      </rPr>
      <t>2</t>
    </r>
  </si>
  <si>
    <r>
      <t xml:space="preserve">Dessin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2</t>
    </r>
  </si>
  <si>
    <r>
      <t xml:space="preserve">Dessin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2</t>
    </r>
  </si>
  <si>
    <t>s2</t>
  </si>
</sst>
</file>

<file path=xl/styles.xml><?xml version="1.0" encoding="utf-8"?>
<styleSheet xmlns="http://schemas.openxmlformats.org/spreadsheetml/2006/main">
  <numFmts count="2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0.000000000"/>
    <numFmt numFmtId="180" formatCode="0.0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sz val="12"/>
      <name val="Arial"/>
      <family val="0"/>
    </font>
    <font>
      <sz val="8"/>
      <name val="Arial"/>
      <family val="0"/>
    </font>
    <font>
      <sz val="8"/>
      <name val="Symbol"/>
      <family val="1"/>
    </font>
    <font>
      <sz val="10"/>
      <color indexed="32"/>
      <name val="Symbol"/>
      <family val="1"/>
    </font>
    <font>
      <sz val="10"/>
      <color indexed="14"/>
      <name val="Symbol"/>
      <family val="1"/>
    </font>
    <font>
      <vertAlign val="subscript"/>
      <sz val="10"/>
      <color indexed="14"/>
      <name val="Symbol"/>
      <family val="1"/>
    </font>
    <font>
      <b/>
      <sz val="10"/>
      <color indexed="10"/>
      <name val="Symbol"/>
      <family val="1"/>
    </font>
    <font>
      <b/>
      <vertAlign val="subscript"/>
      <sz val="10"/>
      <color indexed="10"/>
      <name val="Arial"/>
      <family val="2"/>
    </font>
    <font>
      <b/>
      <sz val="10"/>
      <color indexed="10"/>
      <name val="Arial"/>
      <family val="0"/>
    </font>
    <font>
      <b/>
      <i/>
      <sz val="10"/>
      <color indexed="10"/>
      <name val="Arial"/>
      <family val="0"/>
    </font>
    <font>
      <b/>
      <sz val="10"/>
      <color indexed="12"/>
      <name val="Symbol"/>
      <family val="1"/>
    </font>
    <font>
      <b/>
      <sz val="10"/>
      <color indexed="12"/>
      <name val="Arial"/>
      <family val="0"/>
    </font>
    <font>
      <b/>
      <vertAlign val="subscript"/>
      <sz val="10"/>
      <color indexed="12"/>
      <name val="Arial"/>
      <family val="2"/>
    </font>
    <font>
      <b/>
      <sz val="10"/>
      <color indexed="32"/>
      <name val="Arial"/>
      <family val="0"/>
    </font>
    <font>
      <sz val="10"/>
      <color indexed="10"/>
      <name val="Symbol"/>
      <family val="1"/>
    </font>
    <font>
      <sz val="10"/>
      <color indexed="32"/>
      <name val="Arial"/>
      <family val="0"/>
    </font>
    <font>
      <sz val="10"/>
      <color indexed="58"/>
      <name val="Symbol"/>
      <family val="1"/>
    </font>
    <font>
      <vertAlign val="subscript"/>
      <sz val="10"/>
      <color indexed="58"/>
      <name val="Arial"/>
      <family val="2"/>
    </font>
    <font>
      <b/>
      <sz val="10"/>
      <color indexed="58"/>
      <name val="Arial"/>
      <family val="0"/>
    </font>
    <font>
      <sz val="10"/>
      <color indexed="12"/>
      <name val="Symbol"/>
      <family val="1"/>
    </font>
    <font>
      <vertAlign val="subscript"/>
      <sz val="10"/>
      <color indexed="12"/>
      <name val="Arial"/>
      <family val="2"/>
    </font>
    <font>
      <b/>
      <i/>
      <sz val="10"/>
      <color indexed="32"/>
      <name val="Arial"/>
      <family val="0"/>
    </font>
    <font>
      <sz val="14"/>
      <color indexed="58"/>
      <name val="AvantGarde"/>
      <family val="2"/>
    </font>
    <font>
      <sz val="14"/>
      <name val="Arial"/>
      <family val="0"/>
    </font>
    <font>
      <vertAlign val="subscript"/>
      <sz val="12"/>
      <color indexed="10"/>
      <name val="Symbol"/>
      <family val="1"/>
    </font>
    <font>
      <i/>
      <sz val="8"/>
      <name val="Arial"/>
      <family val="2"/>
    </font>
    <font>
      <sz val="8"/>
      <color indexed="14"/>
      <name val="Symbol"/>
      <family val="1"/>
    </font>
    <font>
      <vertAlign val="subscript"/>
      <sz val="8"/>
      <color indexed="14"/>
      <name val="Symbol"/>
      <family val="1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sz val="9"/>
      <color indexed="17"/>
      <name val="Arial"/>
      <family val="2"/>
    </font>
    <font>
      <i/>
      <sz val="10"/>
      <name val="Book Antiqua"/>
      <family val="1"/>
    </font>
    <font>
      <b/>
      <sz val="10"/>
      <color indexed="56"/>
      <name val="Arial"/>
      <family val="2"/>
    </font>
    <font>
      <sz val="12"/>
      <color indexed="61"/>
      <name val="Book Antiqua"/>
      <family val="1"/>
    </font>
    <font>
      <b/>
      <sz val="12"/>
      <color indexed="61"/>
      <name val="Book Antiqua"/>
      <family val="1"/>
    </font>
    <font>
      <b/>
      <sz val="14"/>
      <color indexed="61"/>
      <name val="AvantGarde"/>
      <family val="2"/>
    </font>
    <font>
      <b/>
      <i/>
      <sz val="14"/>
      <color indexed="61"/>
      <name val="AvantGarde"/>
      <family val="2"/>
    </font>
    <font>
      <b/>
      <i/>
      <sz val="14"/>
      <color indexed="61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i/>
      <sz val="10"/>
      <name val="Book Antiqua"/>
      <family val="1"/>
    </font>
    <font>
      <b/>
      <sz val="8"/>
      <name val="Tahoma"/>
      <family val="0"/>
    </font>
    <font>
      <b/>
      <vertAlign val="subscript"/>
      <sz val="8"/>
      <name val="Tahoma"/>
      <family val="2"/>
    </font>
    <font>
      <b/>
      <i/>
      <sz val="8"/>
      <name val="Tahoma"/>
      <family val="2"/>
    </font>
    <font>
      <b/>
      <sz val="8"/>
      <name val="Symbol"/>
      <family val="1"/>
    </font>
    <font>
      <b/>
      <vertAlign val="superscript"/>
      <sz val="10"/>
      <color indexed="12"/>
      <name val="Symbol"/>
      <family val="1"/>
    </font>
    <font>
      <sz val="12"/>
      <color indexed="10"/>
      <name val="Symbol"/>
      <family val="1"/>
    </font>
    <font>
      <i/>
      <sz val="10"/>
      <color indexed="56"/>
      <name val="Book Antiqua"/>
      <family val="1"/>
    </font>
    <font>
      <vertAlign val="superscript"/>
      <sz val="10"/>
      <name val="Arial"/>
      <family val="2"/>
    </font>
    <font>
      <vertAlign val="superscript"/>
      <sz val="10"/>
      <color indexed="58"/>
      <name val="Arial"/>
      <family val="2"/>
    </font>
    <font>
      <vertAlign val="superscript"/>
      <sz val="10"/>
      <color indexed="12"/>
      <name val="Arial"/>
      <family val="2"/>
    </font>
    <font>
      <vertAlign val="superscript"/>
      <sz val="10"/>
      <color indexed="14"/>
      <name val="Symbol"/>
      <family val="1"/>
    </font>
    <font>
      <b/>
      <vertAlign val="superscript"/>
      <sz val="8"/>
      <name val="Tahoma"/>
      <family val="2"/>
    </font>
    <font>
      <i/>
      <sz val="12"/>
      <color indexed="61"/>
      <name val="Book Antiqua"/>
      <family val="1"/>
    </font>
    <font>
      <vertAlign val="superscript"/>
      <sz val="8"/>
      <color indexed="14"/>
      <name val="Symbol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2" fontId="24" fillId="3" borderId="10" xfId="0" applyNumberFormat="1" applyFont="1" applyFill="1" applyBorder="1" applyAlignment="1" applyProtection="1">
      <alignment horizontal="center"/>
      <protection/>
    </xf>
    <xf numFmtId="176" fontId="14" fillId="3" borderId="1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4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2" fontId="24" fillId="0" borderId="10" xfId="0" applyNumberFormat="1" applyFont="1" applyFill="1" applyBorder="1" applyAlignment="1" applyProtection="1">
      <alignment horizontal="center"/>
      <protection/>
    </xf>
    <xf numFmtId="176" fontId="14" fillId="0" borderId="11" xfId="0" applyNumberFormat="1" applyFont="1" applyFill="1" applyBorder="1" applyAlignment="1">
      <alignment horizontal="center"/>
    </xf>
    <xf numFmtId="176" fontId="19" fillId="0" borderId="19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77" fontId="1" fillId="0" borderId="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37" fillId="0" borderId="0" xfId="0" applyFont="1" applyFill="1" applyAlignment="1">
      <alignment horizontal="left"/>
    </xf>
    <xf numFmtId="0" fontId="46" fillId="0" borderId="0" xfId="0" applyFont="1" applyFill="1" applyAlignment="1">
      <alignment horizontal="right"/>
    </xf>
    <xf numFmtId="176" fontId="19" fillId="0" borderId="17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right"/>
    </xf>
    <xf numFmtId="177" fontId="0" fillId="0" borderId="0" xfId="0" applyNumberFormat="1" applyFill="1" applyAlignment="1">
      <alignment/>
    </xf>
    <xf numFmtId="0" fontId="30" fillId="0" borderId="21" xfId="0" applyFont="1" applyFill="1" applyBorder="1" applyAlignment="1">
      <alignment horizontal="left"/>
    </xf>
    <xf numFmtId="177" fontId="14" fillId="0" borderId="2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2" fillId="0" borderId="12" xfId="0" applyFont="1" applyFill="1" applyBorder="1" applyAlignment="1" quotePrefix="1">
      <alignment horizontal="right"/>
    </xf>
    <xf numFmtId="0" fontId="14" fillId="0" borderId="22" xfId="0" applyFont="1" applyFill="1" applyBorder="1" applyAlignment="1">
      <alignment horizontal="right"/>
    </xf>
    <xf numFmtId="0" fontId="17" fillId="4" borderId="23" xfId="0" applyFont="1" applyFill="1" applyBorder="1" applyAlignment="1" applyProtection="1">
      <alignment horizontal="left"/>
      <protection locked="0"/>
    </xf>
    <xf numFmtId="0" fontId="12" fillId="0" borderId="12" xfId="0" applyFont="1" applyFill="1" applyBorder="1" applyAlignment="1">
      <alignment horizontal="right"/>
    </xf>
    <xf numFmtId="172" fontId="17" fillId="4" borderId="23" xfId="19" applyNumberFormat="1" applyFont="1" applyFill="1" applyBorder="1" applyAlignment="1" applyProtection="1">
      <alignment horizontal="left"/>
      <protection locked="0"/>
    </xf>
    <xf numFmtId="0" fontId="15" fillId="0" borderId="12" xfId="0" applyFont="1" applyFill="1" applyBorder="1" applyAlignment="1">
      <alignment horizontal="right"/>
    </xf>
    <xf numFmtId="0" fontId="15" fillId="0" borderId="22" xfId="0" applyFont="1" applyFill="1" applyBorder="1" applyAlignment="1">
      <alignment horizontal="right"/>
    </xf>
    <xf numFmtId="0" fontId="53" fillId="0" borderId="1" xfId="0" applyFont="1" applyFill="1" applyBorder="1" applyAlignment="1">
      <alignment horizontal="right"/>
    </xf>
    <xf numFmtId="0" fontId="53" fillId="0" borderId="2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53" fillId="0" borderId="5" xfId="0" applyFont="1" applyFill="1" applyBorder="1" applyAlignment="1">
      <alignment horizontal="right"/>
    </xf>
    <xf numFmtId="0" fontId="30" fillId="0" borderId="20" xfId="0" applyFont="1" applyFill="1" applyBorder="1" applyAlignment="1">
      <alignment horizontal="left"/>
    </xf>
    <xf numFmtId="177" fontId="14" fillId="0" borderId="6" xfId="0" applyNumberFormat="1" applyFont="1" applyFill="1" applyBorder="1" applyAlignment="1">
      <alignment horizontal="left"/>
    </xf>
    <xf numFmtId="0" fontId="53" fillId="0" borderId="20" xfId="0" applyFont="1" applyFill="1" applyBorder="1" applyAlignment="1">
      <alignment horizontal="right"/>
    </xf>
    <xf numFmtId="0" fontId="38" fillId="0" borderId="20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right"/>
    </xf>
    <xf numFmtId="0" fontId="16" fillId="0" borderId="26" xfId="0" applyFont="1" applyFill="1" applyBorder="1" applyAlignment="1">
      <alignment horizontal="right"/>
    </xf>
    <xf numFmtId="0" fontId="17" fillId="0" borderId="2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left"/>
    </xf>
    <xf numFmtId="0" fontId="17" fillId="0" borderId="28" xfId="0" applyFont="1" applyFill="1" applyBorder="1" applyAlignment="1">
      <alignment horizontal="right"/>
    </xf>
    <xf numFmtId="0" fontId="16" fillId="0" borderId="29" xfId="0" applyFont="1" applyFill="1" applyBorder="1" applyAlignment="1">
      <alignment horizontal="right"/>
    </xf>
    <xf numFmtId="0" fontId="16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left"/>
    </xf>
    <xf numFmtId="0" fontId="17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36" fillId="0" borderId="1" xfId="0" applyFon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465"/>
          <c:w val="1"/>
          <c:h val="0.82925"/>
        </c:manualLayout>
      </c:layout>
      <c:scatterChart>
        <c:scatterStyle val="smooth"/>
        <c:varyColors val="0"/>
        <c:ser>
          <c:idx val="2"/>
          <c:order val="0"/>
          <c:tx>
            <c:v>Point crit. à gauche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Pt. crit.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TestVariance!$M$47:$M$48</c:f>
              <c:numCache/>
            </c:numRef>
          </c:xVal>
          <c:yVal>
            <c:numRef>
              <c:f>TestVariance!$N$47:$N$48</c:f>
              <c:numCache/>
            </c:numRef>
          </c:yVal>
          <c:smooth val="1"/>
        </c:ser>
        <c:ser>
          <c:idx val="3"/>
          <c:order val="1"/>
          <c:tx>
            <c:v>Point(s) critique(s)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Pt. crit.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TestVariance!$M$50:$M$51</c:f>
              <c:numCache/>
            </c:numRef>
          </c:xVal>
          <c:yVal>
            <c:numRef>
              <c:f>TestVariance!$N$50:$N$51</c:f>
              <c:numCache/>
            </c:numRef>
          </c:yVal>
          <c:smooth val="1"/>
        </c:ser>
        <c:ser>
          <c:idx val="22"/>
          <c:order val="2"/>
          <c:tx>
            <c:v>Efficacité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TestVariance!$P$58:$P$59</c:f>
              <c:numCache/>
            </c:numRef>
          </c:xVal>
          <c:yVal>
            <c:numRef>
              <c:f>TestVariance!$Q$58:$Q$59</c:f>
              <c:numCache/>
            </c:numRef>
          </c:yVal>
          <c:smooth val="1"/>
        </c:ser>
        <c:ser>
          <c:idx val="23"/>
          <c:order val="3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TestVariance!$P$60:$P$61</c:f>
              <c:numCache/>
            </c:numRef>
          </c:xVal>
          <c:yVal>
            <c:numRef>
              <c:f>TestVariance!$Q$60:$Q$61</c:f>
              <c:numCache/>
            </c:numRef>
          </c:yVal>
          <c:smooth val="1"/>
        </c:ser>
        <c:ser>
          <c:idx val="24"/>
          <c:order val="4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TestVariance!$P$62:$P$63</c:f>
              <c:numCache/>
            </c:numRef>
          </c:xVal>
          <c:yVal>
            <c:numRef>
              <c:f>TestVariance!$Q$62:$Q$63</c:f>
              <c:numCache/>
            </c:numRef>
          </c:yVal>
          <c:smooth val="1"/>
        </c:ser>
        <c:ser>
          <c:idx val="25"/>
          <c:order val="5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TestVariance!$P$64:$P$65</c:f>
              <c:numCache/>
            </c:numRef>
          </c:xVal>
          <c:yVal>
            <c:numRef>
              <c:f>TestVariance!$Q$64:$Q$65</c:f>
              <c:numCache/>
            </c:numRef>
          </c:yVal>
          <c:smooth val="1"/>
        </c:ser>
        <c:ser>
          <c:idx val="26"/>
          <c:order val="6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TestVariance!$P$66:$P$67</c:f>
              <c:numCache/>
            </c:numRef>
          </c:xVal>
          <c:yVal>
            <c:numRef>
              <c:f>TestVariance!$Q$66:$Q$67</c:f>
              <c:numCache/>
            </c:numRef>
          </c:yVal>
          <c:smooth val="1"/>
        </c:ser>
        <c:ser>
          <c:idx val="27"/>
          <c:order val="7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TestVariance!$P$68:$P$69</c:f>
              <c:numCache/>
            </c:numRef>
          </c:xVal>
          <c:yVal>
            <c:numRef>
              <c:f>TestVariance!$Q$68:$Q$69</c:f>
              <c:numCache/>
            </c:numRef>
          </c:yVal>
          <c:smooth val="1"/>
        </c:ser>
        <c:ser>
          <c:idx val="28"/>
          <c:order val="8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TestVariance!$P$70:$P$71</c:f>
              <c:numCache/>
            </c:numRef>
          </c:xVal>
          <c:yVal>
            <c:numRef>
              <c:f>TestVariance!$Q$70:$Q$71</c:f>
              <c:numCache/>
            </c:numRef>
          </c:yVal>
          <c:smooth val="1"/>
        </c:ser>
        <c:ser>
          <c:idx val="29"/>
          <c:order val="9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TestVariance!$P$72:$P$73</c:f>
              <c:numCache/>
            </c:numRef>
          </c:xVal>
          <c:yVal>
            <c:numRef>
              <c:f>TestVariance!$Q$72:$Q$73</c:f>
              <c:numCache/>
            </c:numRef>
          </c:yVal>
          <c:smooth val="1"/>
        </c:ser>
        <c:ser>
          <c:idx val="30"/>
          <c:order val="10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TestVariance!$P$74:$P$75</c:f>
              <c:numCache/>
            </c:numRef>
          </c:xVal>
          <c:yVal>
            <c:numRef>
              <c:f>TestVariance!$Q$74:$Q$75</c:f>
              <c:numCache/>
            </c:numRef>
          </c:yVal>
          <c:smooth val="1"/>
        </c:ser>
        <c:ser>
          <c:idx val="31"/>
          <c:order val="11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TestVariance!$P$76:$P$77</c:f>
              <c:numCache/>
            </c:numRef>
          </c:xVal>
          <c:yVal>
            <c:numRef>
              <c:f>TestVariance!$Q$76:$Q$77</c:f>
              <c:numCache/>
            </c:numRef>
          </c:yVal>
          <c:smooth val="1"/>
        </c:ser>
        <c:ser>
          <c:idx val="32"/>
          <c:order val="12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TestVariance!$P$78:$P$79</c:f>
              <c:numCache/>
            </c:numRef>
          </c:xVal>
          <c:yVal>
            <c:numRef>
              <c:f>TestVariance!$Q$78:$Q$79</c:f>
              <c:numCache/>
            </c:numRef>
          </c:yVal>
          <c:smooth val="1"/>
        </c:ser>
        <c:ser>
          <c:idx val="33"/>
          <c:order val="13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TestVariance!$P$80:$P$81</c:f>
              <c:numCache/>
            </c:numRef>
          </c:xVal>
          <c:yVal>
            <c:numRef>
              <c:f>TestVariance!$Q$80:$Q$81</c:f>
              <c:numCache/>
            </c:numRef>
          </c:yVal>
          <c:smooth val="1"/>
        </c:ser>
        <c:ser>
          <c:idx val="34"/>
          <c:order val="14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TestVariance!$P$82:$P$83</c:f>
              <c:numCache/>
            </c:numRef>
          </c:xVal>
          <c:yVal>
            <c:numRef>
              <c:f>TestVariance!$Q$82:$Q$83</c:f>
              <c:numCache/>
            </c:numRef>
          </c:yVal>
          <c:smooth val="1"/>
        </c:ser>
        <c:ser>
          <c:idx val="35"/>
          <c:order val="15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TestVariance!$P$84:$P$85</c:f>
              <c:numCache/>
            </c:numRef>
          </c:xVal>
          <c:yVal>
            <c:numRef>
              <c:f>TestVariance!$Q$84:$Q$85</c:f>
              <c:numCache/>
            </c:numRef>
          </c:yVal>
          <c:smooth val="1"/>
        </c:ser>
        <c:ser>
          <c:idx val="36"/>
          <c:order val="16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TestVariance!$P$86:$P$87</c:f>
              <c:numCache/>
            </c:numRef>
          </c:xVal>
          <c:yVal>
            <c:numRef>
              <c:f>TestVariance!$Q$86:$Q$87</c:f>
              <c:numCache/>
            </c:numRef>
          </c:yVal>
          <c:smooth val="1"/>
        </c:ser>
        <c:ser>
          <c:idx val="39"/>
          <c:order val="17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TestVariance!$P$94:$P$95</c:f>
              <c:numCache/>
            </c:numRef>
          </c:xVal>
          <c:yVal>
            <c:numRef>
              <c:f>TestVariance!$Q$94:$Q$95</c:f>
              <c:numCache/>
            </c:numRef>
          </c:yVal>
          <c:smooth val="1"/>
        </c:ser>
        <c:ser>
          <c:idx val="40"/>
          <c:order val="18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TestVariance!$P$92:$P$93</c:f>
              <c:numCache/>
            </c:numRef>
          </c:xVal>
          <c:yVal>
            <c:numRef>
              <c:f>TestVariance!$Q$92:$Q$93</c:f>
              <c:numCache/>
            </c:numRef>
          </c:yVal>
          <c:smooth val="1"/>
        </c:ser>
        <c:ser>
          <c:idx val="41"/>
          <c:order val="19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TestVariance!$P$90:$P$91</c:f>
              <c:numCache/>
            </c:numRef>
          </c:xVal>
          <c:yVal>
            <c:numRef>
              <c:f>TestVariance!$Q$90:$Q$91</c:f>
              <c:numCache/>
            </c:numRef>
          </c:yVal>
          <c:smooth val="1"/>
        </c:ser>
        <c:ser>
          <c:idx val="37"/>
          <c:order val="20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TestVariance!$P$88:$P$89</c:f>
              <c:numCache/>
            </c:numRef>
          </c:xVal>
          <c:yVal>
            <c:numRef>
              <c:f>TestVariance!$Q$88:$Q$89</c:f>
              <c:numCache/>
            </c:numRef>
          </c:yVal>
          <c:smooth val="1"/>
        </c:ser>
        <c:ser>
          <c:idx val="38"/>
          <c:order val="21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TestVariance!$S$58:$S$59</c:f>
              <c:numCache/>
            </c:numRef>
          </c:xVal>
          <c:yVal>
            <c:numRef>
              <c:f>TestVariance!$T$58:$T$59</c:f>
              <c:numCache/>
            </c:numRef>
          </c:yVal>
          <c:smooth val="1"/>
        </c:ser>
        <c:ser>
          <c:idx val="42"/>
          <c:order val="22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TestVariance!$S$60:$S$61</c:f>
              <c:numCache/>
            </c:numRef>
          </c:xVal>
          <c:yVal>
            <c:numRef>
              <c:f>TestVariance!$T$60:$T$61</c:f>
              <c:numCache/>
            </c:numRef>
          </c:yVal>
          <c:smooth val="1"/>
        </c:ser>
        <c:ser>
          <c:idx val="43"/>
          <c:order val="23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TestVariance!$S$62:$S$63</c:f>
              <c:numCache/>
            </c:numRef>
          </c:xVal>
          <c:yVal>
            <c:numRef>
              <c:f>TestVariance!$T$62:$T$63</c:f>
              <c:numCache/>
            </c:numRef>
          </c:yVal>
          <c:smooth val="1"/>
        </c:ser>
        <c:ser>
          <c:idx val="44"/>
          <c:order val="24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TestVariance!$S$64:$S$65</c:f>
              <c:numCache/>
            </c:numRef>
          </c:xVal>
          <c:yVal>
            <c:numRef>
              <c:f>TestVariance!$T$64:$T$65</c:f>
              <c:numCache/>
            </c:numRef>
          </c:yVal>
          <c:smooth val="1"/>
        </c:ser>
        <c:ser>
          <c:idx val="45"/>
          <c:order val="25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TestVariance!$S$66:$S$67</c:f>
              <c:numCache/>
            </c:numRef>
          </c:xVal>
          <c:yVal>
            <c:numRef>
              <c:f>TestVariance!$T$66:$T$67</c:f>
              <c:numCache/>
            </c:numRef>
          </c:yVal>
          <c:smooth val="1"/>
        </c:ser>
        <c:ser>
          <c:idx val="46"/>
          <c:order val="26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TestVariance!$S$68:$S$69</c:f>
              <c:numCache/>
            </c:numRef>
          </c:xVal>
          <c:yVal>
            <c:numRef>
              <c:f>TestVariance!$T$68:$T$69</c:f>
              <c:numCache/>
            </c:numRef>
          </c:yVal>
          <c:smooth val="1"/>
        </c:ser>
        <c:ser>
          <c:idx val="47"/>
          <c:order val="27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TestVariance!$S$70:$S$71</c:f>
              <c:numCache/>
            </c:numRef>
          </c:xVal>
          <c:yVal>
            <c:numRef>
              <c:f>TestVariance!$T$70:$T$71</c:f>
              <c:numCache/>
            </c:numRef>
          </c:yVal>
          <c:smooth val="1"/>
        </c:ser>
        <c:ser>
          <c:idx val="48"/>
          <c:order val="28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TestVariance!$S$72:$S$73</c:f>
              <c:numCache/>
            </c:numRef>
          </c:xVal>
          <c:yVal>
            <c:numRef>
              <c:f>TestVariance!$T$72:$T$73</c:f>
              <c:numCache/>
            </c:numRef>
          </c:yVal>
          <c:smooth val="1"/>
        </c:ser>
        <c:ser>
          <c:idx val="49"/>
          <c:order val="29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TestVariance!$S$74:$S$75</c:f>
              <c:numCache/>
            </c:numRef>
          </c:xVal>
          <c:yVal>
            <c:numRef>
              <c:f>TestVariance!$T$74:$T$75</c:f>
              <c:numCache/>
            </c:numRef>
          </c:yVal>
          <c:smooth val="1"/>
        </c:ser>
        <c:ser>
          <c:idx val="50"/>
          <c:order val="30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TestVariance!$S$76:$S$77</c:f>
              <c:numCache/>
            </c:numRef>
          </c:xVal>
          <c:yVal>
            <c:numRef>
              <c:f>TestVariance!$T$76:$T$77</c:f>
              <c:numCache/>
            </c:numRef>
          </c:yVal>
          <c:smooth val="1"/>
        </c:ser>
        <c:ser>
          <c:idx val="51"/>
          <c:order val="31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TestVariance!$S$78:$S$79</c:f>
              <c:numCache/>
            </c:numRef>
          </c:xVal>
          <c:yVal>
            <c:numRef>
              <c:f>TestVariance!$T$78:$T$79</c:f>
              <c:numCache/>
            </c:numRef>
          </c:yVal>
          <c:smooth val="1"/>
        </c:ser>
        <c:ser>
          <c:idx val="53"/>
          <c:order val="32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TestVariance!$S$80:$S$81</c:f>
              <c:numCache/>
            </c:numRef>
          </c:xVal>
          <c:yVal>
            <c:numRef>
              <c:f>TestVariance!$T$80:$T$81</c:f>
              <c:numCache/>
            </c:numRef>
          </c:yVal>
          <c:smooth val="1"/>
        </c:ser>
        <c:ser>
          <c:idx val="54"/>
          <c:order val="33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TestVariance!$S$82:$S$83</c:f>
              <c:numCache/>
            </c:numRef>
          </c:xVal>
          <c:yVal>
            <c:numRef>
              <c:f>TestVariance!$T$82:$T$83</c:f>
              <c:numCache/>
            </c:numRef>
          </c:yVal>
          <c:smooth val="1"/>
        </c:ser>
        <c:ser>
          <c:idx val="55"/>
          <c:order val="34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TestVariance!$S$84:$S$85</c:f>
              <c:numCache/>
            </c:numRef>
          </c:xVal>
          <c:yVal>
            <c:numRef>
              <c:f>TestVariance!$T$84:$T$85</c:f>
              <c:numCache/>
            </c:numRef>
          </c:yVal>
          <c:smooth val="1"/>
        </c:ser>
        <c:ser>
          <c:idx val="56"/>
          <c:order val="35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TestVariance!$S$86:$S$87</c:f>
              <c:numCache/>
            </c:numRef>
          </c:xVal>
          <c:yVal>
            <c:numRef>
              <c:f>TestVariance!$T$86:$T$87</c:f>
              <c:numCache/>
            </c:numRef>
          </c:yVal>
          <c:smooth val="1"/>
        </c:ser>
        <c:ser>
          <c:idx val="57"/>
          <c:order val="36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TestVariance!$S$88:$S$89</c:f>
              <c:numCache/>
            </c:numRef>
          </c:xVal>
          <c:yVal>
            <c:numRef>
              <c:f>TestVariance!$T$88:$T$89</c:f>
              <c:numCache/>
            </c:numRef>
          </c:yVal>
          <c:smooth val="1"/>
        </c:ser>
        <c:ser>
          <c:idx val="58"/>
          <c:order val="37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TestVariance!$S$90:$S$91</c:f>
              <c:numCache/>
            </c:numRef>
          </c:xVal>
          <c:yVal>
            <c:numRef>
              <c:f>TestVariance!$T$90:$T$91</c:f>
              <c:numCache/>
            </c:numRef>
          </c:yVal>
          <c:smooth val="1"/>
        </c:ser>
        <c:ser>
          <c:idx val="59"/>
          <c:order val="38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TestVariance!$S$92:$S$93</c:f>
              <c:numCache/>
            </c:numRef>
          </c:xVal>
          <c:yVal>
            <c:numRef>
              <c:f>TestVariance!$T$92:$T$93</c:f>
              <c:numCache/>
            </c:numRef>
          </c:yVal>
          <c:smooth val="1"/>
        </c:ser>
        <c:ser>
          <c:idx val="60"/>
          <c:order val="39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TestVariance!$S$94:$S$95</c:f>
              <c:numCache/>
            </c:numRef>
          </c:xVal>
          <c:yVal>
            <c:numRef>
              <c:f>TestVariance!$T$94:$T$95</c:f>
              <c:numCache/>
            </c:numRef>
          </c:yVal>
          <c:smooth val="1"/>
        </c:ser>
        <c:ser>
          <c:idx val="20"/>
          <c:order val="40"/>
          <c:tx>
            <c:v>m0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s</a:t>
                    </a:r>
                    <a:r>
                      <a:rPr lang="en-US" cap="none" sz="1000" b="0" i="0" u="none" baseline="-25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  <a:r>
                      <a:rPr lang="en-US" cap="none" sz="1000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TestVariance!$P$47:$P$48</c:f>
              <c:numCache/>
            </c:numRef>
          </c:xVal>
          <c:yVal>
            <c:numRef>
              <c:f>TestVariance!$Q$47:$Q$48</c:f>
              <c:numCache/>
            </c:numRef>
          </c:yVal>
          <c:smooth val="1"/>
        </c:ser>
        <c:ser>
          <c:idx val="21"/>
          <c:order val="41"/>
          <c:tx>
            <c:v>m1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00FF"/>
                        </a:solidFill>
                      </a:rPr>
                      <a:t>s</a:t>
                    </a:r>
                    <a:r>
                      <a:rPr lang="en-US" cap="none" sz="1000" b="0" i="0" u="none" baseline="-25000">
                        <a:solidFill>
                          <a:srgbClr val="FF00FF"/>
                        </a:solidFill>
                      </a:rPr>
                      <a:t>1</a:t>
                    </a:r>
                    <a:r>
                      <a:rPr lang="en-US" cap="none" sz="1000" b="0" i="0" u="none" baseline="30000">
                        <a:solidFill>
                          <a:srgbClr val="FF00FF"/>
                        </a:solidFill>
                      </a:rPr>
                      <a:t>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TestVariance!$P$52:$P$53</c:f>
              <c:numCache/>
            </c:numRef>
          </c:xVal>
          <c:yVal>
            <c:numRef>
              <c:f>TestVariance!$Q$52:$Q$53</c:f>
              <c:numCache/>
            </c:numRef>
          </c:yVal>
          <c:smooth val="1"/>
        </c:ser>
        <c:ser>
          <c:idx val="52"/>
          <c:order val="4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TestVariance!$S$50</c:f>
              <c:numCache/>
            </c:numRef>
          </c:xVal>
          <c:yVal>
            <c:numRef>
              <c:f>TestVariance!$T$50</c:f>
              <c:numCache/>
            </c:numRef>
          </c:yVal>
          <c:smooth val="1"/>
        </c:ser>
        <c:ser>
          <c:idx val="0"/>
          <c:order val="43"/>
          <c:tx>
            <c:v>Distribution de S2 sous H0 vraie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TestVariance!$D$48:$D$96</c:f>
              <c:numCache/>
            </c:numRef>
          </c:xVal>
          <c:yVal>
            <c:numRef>
              <c:f>TestVariance!$E$48:$E$96</c:f>
              <c:numCache/>
            </c:numRef>
          </c:yVal>
          <c:smooth val="1"/>
        </c:ser>
        <c:ser>
          <c:idx val="1"/>
          <c:order val="44"/>
          <c:tx>
            <c:v>Distribution de S2 sous H1 vraie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TestVariance!$J$48:$J$70</c:f>
              <c:numCache/>
            </c:numRef>
          </c:xVal>
          <c:yVal>
            <c:numRef>
              <c:f>TestVariance!$K$48:$K$70</c:f>
              <c:numCache/>
            </c:numRef>
          </c:yVal>
          <c:smooth val="1"/>
        </c:ser>
        <c:axId val="28249013"/>
        <c:axId val="52914526"/>
      </c:scatterChart>
      <c:valAx>
        <c:axId val="28249013"/>
        <c:scaling>
          <c:orientation val="minMax"/>
          <c:min val="0"/>
        </c:scaling>
        <c:axPos val="b"/>
        <c:delete val="0"/>
        <c:numFmt formatCode="0.00" sourceLinked="0"/>
        <c:majorTickMark val="in"/>
        <c:minorTickMark val="none"/>
        <c:tickLblPos val="nextTo"/>
        <c:crossAx val="52914526"/>
        <c:crosses val="autoZero"/>
        <c:crossBetween val="midCat"/>
        <c:dispUnits/>
      </c:valAx>
      <c:valAx>
        <c:axId val="52914526"/>
        <c:scaling>
          <c:orientation val="minMax"/>
        </c:scaling>
        <c:axPos val="l"/>
        <c:delete val="1"/>
        <c:majorTickMark val="in"/>
        <c:minorTickMark val="none"/>
        <c:tickLblPos val="nextTo"/>
        <c:crossAx val="28249013"/>
        <c:crossesAt val="69.5204377204367"/>
        <c:crossBetween val="midCat"/>
        <c:dispUnits/>
      </c:valAx>
      <c:spPr>
        <a:gradFill rotWithShape="1">
          <a:gsLst>
            <a:gs pos="0">
              <a:srgbClr val="666699"/>
            </a:gs>
            <a:gs pos="100000">
              <a:srgbClr val="C0C0D5"/>
            </a:gs>
          </a:gsLst>
          <a:path path="rect">
            <a:fillToRect r="100000" b="100000"/>
          </a:path>
        </a:gra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38"/>
        <c:delete val="1"/>
      </c:legendEntry>
      <c:legendEntry>
        <c:idx val="39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4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ayout>
        <c:manualLayout>
          <c:xMode val="edge"/>
          <c:yMode val="edge"/>
          <c:x val="0.2875"/>
          <c:y val="0"/>
          <c:w val="0.7125"/>
          <c:h val="0.1815"/>
        </c:manualLayout>
      </c:layout>
      <c:overlay val="0"/>
    </c:legend>
    <c:plotVisOnly val="1"/>
    <c:dispBlanksAs val="gap"/>
    <c:showDLblsOverMax val="0"/>
  </c:chart>
  <c:spPr>
    <a:ln w="38100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/>
              <a:t>Efficacité du test</a:t>
            </a:r>
          </a:p>
        </c:rich>
      </c:tx>
      <c:layout>
        <c:manualLayout>
          <c:xMode val="factor"/>
          <c:yMode val="factor"/>
          <c:x val="0.068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25"/>
          <c:w val="1"/>
          <c:h val="0.85825"/>
        </c:manualLayout>
      </c:layout>
      <c:scatterChart>
        <c:scatterStyle val="smooth"/>
        <c:varyColors val="0"/>
        <c:ser>
          <c:idx val="0"/>
          <c:order val="0"/>
          <c:tx>
            <c:strRef>
              <c:f>'Graphe efficacité'!$B$11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'Graphe efficacité'!$A$12:$A$82</c:f>
              <c:numCache>
                <c:ptCount val="71"/>
                <c:pt idx="0">
                  <c:v>-172.74756441743295</c:v>
                </c:pt>
                <c:pt idx="1">
                  <c:v>-152.8601861965613</c:v>
                </c:pt>
                <c:pt idx="2">
                  <c:v>-132.97280797568965</c:v>
                </c:pt>
                <c:pt idx="3">
                  <c:v>-113.085429754818</c:v>
                </c:pt>
                <c:pt idx="4">
                  <c:v>-93.19805153394634</c:v>
                </c:pt>
                <c:pt idx="5">
                  <c:v>-73.31067331307469</c:v>
                </c:pt>
                <c:pt idx="6">
                  <c:v>-53.42329509220304</c:v>
                </c:pt>
                <c:pt idx="7">
                  <c:v>-33.535916871331395</c:v>
                </c:pt>
                <c:pt idx="8">
                  <c:v>-13.648538650459749</c:v>
                </c:pt>
                <c:pt idx="9">
                  <c:v>6.238839570411898</c:v>
                </c:pt>
                <c:pt idx="10">
                  <c:v>26.126217791283544</c:v>
                </c:pt>
                <c:pt idx="11">
                  <c:v>46.01359601215519</c:v>
                </c:pt>
                <c:pt idx="12">
                  <c:v>65.90097423302683</c:v>
                </c:pt>
                <c:pt idx="13">
                  <c:v>85.78835245389848</c:v>
                </c:pt>
                <c:pt idx="14">
                  <c:v>105.67573067477014</c:v>
                </c:pt>
                <c:pt idx="15">
                  <c:v>125.56310889564179</c:v>
                </c:pt>
                <c:pt idx="16">
                  <c:v>145.45048711651344</c:v>
                </c:pt>
                <c:pt idx="17">
                  <c:v>165.3378653373851</c:v>
                </c:pt>
                <c:pt idx="18">
                  <c:v>185.22524355825675</c:v>
                </c:pt>
                <c:pt idx="19">
                  <c:v>205.1126217791284</c:v>
                </c:pt>
                <c:pt idx="20">
                  <c:v>225.00000000000006</c:v>
                </c:pt>
                <c:pt idx="21">
                  <c:v>244.8873782208717</c:v>
                </c:pt>
                <c:pt idx="22">
                  <c:v>264.77475644174336</c:v>
                </c:pt>
                <c:pt idx="23">
                  <c:v>284.662134662615</c:v>
                </c:pt>
                <c:pt idx="24">
                  <c:v>304.54951288348667</c:v>
                </c:pt>
                <c:pt idx="25">
                  <c:v>324.4368911043583</c:v>
                </c:pt>
                <c:pt idx="26">
                  <c:v>344.32426932523</c:v>
                </c:pt>
                <c:pt idx="27">
                  <c:v>364.21164754610163</c:v>
                </c:pt>
                <c:pt idx="28">
                  <c:v>384.0990257669733</c:v>
                </c:pt>
                <c:pt idx="29">
                  <c:v>403.98640398784494</c:v>
                </c:pt>
                <c:pt idx="30">
                  <c:v>423.8737822087166</c:v>
                </c:pt>
                <c:pt idx="31">
                  <c:v>443.76116042958824</c:v>
                </c:pt>
                <c:pt idx="32">
                  <c:v>463.6485386504599</c:v>
                </c:pt>
                <c:pt idx="33">
                  <c:v>483.53591687133155</c:v>
                </c:pt>
                <c:pt idx="34">
                  <c:v>503.4232950922032</c:v>
                </c:pt>
                <c:pt idx="35">
                  <c:v>523.3106733130749</c:v>
                </c:pt>
                <c:pt idx="36">
                  <c:v>543.1980515339465</c:v>
                </c:pt>
                <c:pt idx="37">
                  <c:v>563.085429754818</c:v>
                </c:pt>
                <c:pt idx="38">
                  <c:v>582.9728079756896</c:v>
                </c:pt>
                <c:pt idx="39">
                  <c:v>602.8601861965612</c:v>
                </c:pt>
                <c:pt idx="40">
                  <c:v>622.7475644174328</c:v>
                </c:pt>
                <c:pt idx="41">
                  <c:v>642.6349426383044</c:v>
                </c:pt>
                <c:pt idx="42">
                  <c:v>662.522320859176</c:v>
                </c:pt>
                <c:pt idx="43">
                  <c:v>682.4096990800476</c:v>
                </c:pt>
                <c:pt idx="44">
                  <c:v>702.2970773009192</c:v>
                </c:pt>
                <c:pt idx="45">
                  <c:v>722.1844555217908</c:v>
                </c:pt>
                <c:pt idx="46">
                  <c:v>742.0718337426624</c:v>
                </c:pt>
                <c:pt idx="47">
                  <c:v>761.959211963534</c:v>
                </c:pt>
                <c:pt idx="48">
                  <c:v>781.8465901844056</c:v>
                </c:pt>
                <c:pt idx="49">
                  <c:v>801.7339684052772</c:v>
                </c:pt>
                <c:pt idx="50">
                  <c:v>821.6213466261488</c:v>
                </c:pt>
                <c:pt idx="51">
                  <c:v>841.5087248470204</c:v>
                </c:pt>
                <c:pt idx="52">
                  <c:v>861.396103067892</c:v>
                </c:pt>
                <c:pt idx="53">
                  <c:v>881.2834812887636</c:v>
                </c:pt>
                <c:pt idx="54">
                  <c:v>901.1708595096352</c:v>
                </c:pt>
                <c:pt idx="55">
                  <c:v>921.0582377305068</c:v>
                </c:pt>
                <c:pt idx="56">
                  <c:v>940.9456159513784</c:v>
                </c:pt>
                <c:pt idx="57">
                  <c:v>960.83299417225</c:v>
                </c:pt>
                <c:pt idx="58">
                  <c:v>980.7203723931216</c:v>
                </c:pt>
                <c:pt idx="59">
                  <c:v>1000.6077506139932</c:v>
                </c:pt>
                <c:pt idx="60">
                  <c:v>1020.4951288348648</c:v>
                </c:pt>
                <c:pt idx="61">
                  <c:v>1040.3825070557364</c:v>
                </c:pt>
                <c:pt idx="62">
                  <c:v>1060.269885276608</c:v>
                </c:pt>
                <c:pt idx="63">
                  <c:v>1080.1572634974796</c:v>
                </c:pt>
                <c:pt idx="64">
                  <c:v>1100.0446417183512</c:v>
                </c:pt>
                <c:pt idx="65">
                  <c:v>1119.9320199392228</c:v>
                </c:pt>
                <c:pt idx="66">
                  <c:v>1139.8193981600944</c:v>
                </c:pt>
                <c:pt idx="67">
                  <c:v>1159.706776380966</c:v>
                </c:pt>
                <c:pt idx="68">
                  <c:v>1179.5941546018375</c:v>
                </c:pt>
                <c:pt idx="69">
                  <c:v>1199.4815328227091</c:v>
                </c:pt>
                <c:pt idx="70">
                  <c:v>1219.3689110435807</c:v>
                </c:pt>
              </c:numCache>
            </c:numRef>
          </c:xVal>
          <c:yVal>
            <c:numRef>
              <c:f>'Graphe efficacité'!$B$12:$B$82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4.447563279814886E-47</c:v>
                </c:pt>
                <c:pt idx="10">
                  <c:v>9.211247930108025E-08</c:v>
                </c:pt>
                <c:pt idx="11">
                  <c:v>0.0020826942327087897</c:v>
                </c:pt>
                <c:pt idx="12">
                  <c:v>0.05283036416780281</c:v>
                </c:pt>
                <c:pt idx="13">
                  <c:v>0.2117695007860423</c:v>
                </c:pt>
                <c:pt idx="14">
                  <c:v>0.4188382638478174</c:v>
                </c:pt>
                <c:pt idx="15">
                  <c:v>0.6013602993108681</c:v>
                </c:pt>
                <c:pt idx="16">
                  <c:v>0.7352577715276448</c:v>
                </c:pt>
                <c:pt idx="17">
                  <c:v>0.8237669234687108</c:v>
                </c:pt>
                <c:pt idx="18">
                  <c:v>0.8760561977993258</c:v>
                </c:pt>
                <c:pt idx="19">
                  <c:v>0.8996808305706783</c:v>
                </c:pt>
                <c:pt idx="20">
                  <c:v>0.9000003718850795</c:v>
                </c:pt>
                <c:pt idx="21">
                  <c:v>0.8812712134762427</c:v>
                </c:pt>
                <c:pt idx="22">
                  <c:v>0.8474375027326444</c:v>
                </c:pt>
                <c:pt idx="23">
                  <c:v>0.8023483811631604</c:v>
                </c:pt>
                <c:pt idx="24">
                  <c:v>0.7496461699060705</c:v>
                </c:pt>
                <c:pt idx="25">
                  <c:v>0.692575196927951</c:v>
                </c:pt>
                <c:pt idx="26">
                  <c:v>0.6338426045576553</c:v>
                </c:pt>
                <c:pt idx="27">
                  <c:v>0.5755665080758379</c:v>
                </c:pt>
                <c:pt idx="28">
                  <c:v>0.5192982182120448</c:v>
                </c:pt>
                <c:pt idx="29">
                  <c:v>0.46609085379147097</c:v>
                </c:pt>
                <c:pt idx="30">
                  <c:v>0.4165881472534725</c:v>
                </c:pt>
                <c:pt idx="31">
                  <c:v>0.3711155611407033</c:v>
                </c:pt>
                <c:pt idx="32">
                  <c:v>0.3297635069299135</c:v>
                </c:pt>
                <c:pt idx="33">
                  <c:v>0.2924569789894753</c:v>
                </c:pt>
                <c:pt idx="34">
                  <c:v>0.2590115257649752</c:v>
                </c:pt>
                <c:pt idx="35">
                  <c:v>0.22917591907766577</c:v>
                </c:pt>
                <c:pt idx="36">
                  <c:v>0.20266347914741278</c:v>
                </c:pt>
                <c:pt idx="37">
                  <c:v>0.1791744953828558</c:v>
                </c:pt>
                <c:pt idx="38">
                  <c:v>0.15841131754321558</c:v>
                </c:pt>
                <c:pt idx="39">
                  <c:v>0.1400882937846626</c:v>
                </c:pt>
                <c:pt idx="40">
                  <c:v>0.12393769965932888</c:v>
                </c:pt>
                <c:pt idx="41">
                  <c:v>0.10971293805347537</c:v>
                </c:pt>
                <c:pt idx="42">
                  <c:v>0.09718975090550908</c:v>
                </c:pt>
                <c:pt idx="43">
                  <c:v>0.08616621774997846</c:v>
                </c:pt>
                <c:pt idx="44">
                  <c:v>0.07646188989899982</c:v>
                </c:pt>
                <c:pt idx="45">
                  <c:v>0.06791646450933342</c:v>
                </c:pt>
                <c:pt idx="46">
                  <c:v>0.06038815693163213</c:v>
                </c:pt>
                <c:pt idx="47">
                  <c:v>0.05375201791927098</c:v>
                </c:pt>
                <c:pt idx="48">
                  <c:v>0.04789822593331472</c:v>
                </c:pt>
                <c:pt idx="49">
                  <c:v>0.04273045142815335</c:v>
                </c:pt>
                <c:pt idx="50">
                  <c:v>0.038164323873340567</c:v>
                </c:pt>
                <c:pt idx="51">
                  <c:v>0.03412603143699977</c:v>
                </c:pt>
                <c:pt idx="52">
                  <c:v>0.030551034395460253</c:v>
                </c:pt>
                <c:pt idx="53">
                  <c:v>0.027382929357764207</c:v>
                </c:pt>
                <c:pt idx="54">
                  <c:v>0.024572428791271195</c:v>
                </c:pt>
                <c:pt idx="55">
                  <c:v>0.02207646046010603</c:v>
                </c:pt>
                <c:pt idx="56">
                  <c:v>0.019857374622107904</c:v>
                </c:pt>
                <c:pt idx="57">
                  <c:v>0.01788224784288861</c:v>
                </c:pt>
                <c:pt idx="58">
                  <c:v>0.016122278332400652</c:v>
                </c:pt>
                <c:pt idx="59">
                  <c:v>0.014552249545165319</c:v>
                </c:pt>
                <c:pt idx="60">
                  <c:v>0.01315007187271855</c:v>
                </c:pt>
                <c:pt idx="61">
                  <c:v>0.01189637912449848</c:v>
                </c:pt>
                <c:pt idx="62">
                  <c:v>0.010774178670628132</c:v>
                </c:pt>
                <c:pt idx="63">
                  <c:v>0.009768547420747176</c:v>
                </c:pt>
                <c:pt idx="64">
                  <c:v>0.008866367712026757</c:v>
                </c:pt>
                <c:pt idx="65">
                  <c:v>0.008056097887302993</c:v>
                </c:pt>
                <c:pt idx="66">
                  <c:v>0.007327572989014208</c:v>
                </c:pt>
                <c:pt idx="67">
                  <c:v>0.006671831574403653</c:v>
                </c:pt>
                <c:pt idx="68">
                  <c:v>0.006080964927374755</c:v>
                </c:pt>
                <c:pt idx="69">
                  <c:v>0.005547987178060043</c:v>
                </c:pt>
                <c:pt idx="70">
                  <c:v>0.0050667197258124075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solidFill>
                          <a:srgbClr val="FF00FF"/>
                        </a:solidFill>
                      </a:rPr>
                      <a:t>s</a:t>
                    </a:r>
                    <a:r>
                      <a:rPr lang="en-US" cap="none" sz="800" b="0" i="0" u="none" baseline="-25000">
                        <a:solidFill>
                          <a:srgbClr val="FF00FF"/>
                        </a:solidFill>
                      </a:rPr>
                      <a:t>1</a:t>
                    </a:r>
                    <a:r>
                      <a:rPr lang="en-US" cap="none" sz="800" b="0" i="0" u="none" baseline="30000">
                        <a:solidFill>
                          <a:srgbClr val="FF00FF"/>
                        </a:solidFill>
                      </a:rPr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TestVariance!$M$38:$M$39</c:f>
              <c:numCache/>
            </c:numRef>
          </c:xVal>
          <c:yVal>
            <c:numRef>
              <c:f>TestVariance!$N$38:$N$39</c:f>
              <c:numCache/>
            </c:numRef>
          </c:yVal>
          <c:smooth val="1"/>
        </c:ser>
        <c:axId val="6468687"/>
        <c:axId val="58218184"/>
      </c:scatterChart>
      <c:valAx>
        <c:axId val="6468687"/>
        <c:scaling>
          <c:orientation val="minMax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58218184"/>
        <c:crosses val="autoZero"/>
        <c:crossBetween val="midCat"/>
        <c:dispUnits/>
      </c:valAx>
      <c:valAx>
        <c:axId val="58218184"/>
        <c:scaling>
          <c:orientation val="minMax"/>
          <c:max val="1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6468687"/>
        <c:crosses val="autoZero"/>
        <c:crossBetween val="midCat"/>
        <c:dispUnits/>
        <c:majorUnit val="0.2"/>
        <c:minorUnit val="0.1"/>
      </c:valAx>
      <c:spPr>
        <a:gradFill rotWithShape="1">
          <a:gsLst>
            <a:gs pos="0">
              <a:srgbClr val="666699"/>
            </a:gs>
            <a:gs pos="100000">
              <a:srgbClr val="CFCFDF"/>
            </a:gs>
          </a:gsLst>
          <a:path path="rect">
            <a:fillToRect r="100000" b="100000"/>
          </a:path>
        </a:gradFill>
        <a:ln w="3175">
          <a:noFill/>
        </a:ln>
      </c:spPr>
    </c:plotArea>
    <c:plotVisOnly val="1"/>
    <c:dispBlanksAs val="gap"/>
    <c:showDLblsOverMax val="0"/>
  </c:chart>
  <c:spPr>
    <a:ln w="38100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9</xdr:col>
      <xdr:colOff>371475</xdr:colOff>
      <xdr:row>28</xdr:row>
      <xdr:rowOff>114300</xdr:rowOff>
    </xdr:to>
    <xdr:sp>
      <xdr:nvSpPr>
        <xdr:cNvPr id="1" name="Texte 2"/>
        <xdr:cNvSpPr txBox="1">
          <a:spLocks noChangeArrowheads="1"/>
        </xdr:cNvSpPr>
      </xdr:nvSpPr>
      <xdr:spPr>
        <a:xfrm>
          <a:off x="161925" y="104775"/>
          <a:ext cx="7067550" cy="4543425"/>
        </a:xfrm>
        <a:prstGeom prst="rect">
          <a:avLst/>
        </a:prstGeom>
        <a:gradFill rotWithShape="1">
          <a:gsLst>
            <a:gs pos="0">
              <a:srgbClr val="A6CAF0"/>
            </a:gs>
            <a:gs pos="100000">
              <a:srgbClr val="E1EDFA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3300"/>
              </a:solidFill>
              <a:latin typeface="AvantGarde"/>
              <a:ea typeface="AvantGarde"/>
              <a:cs typeface="AvantGarde"/>
            </a:rPr>
            <a:t>
</a:t>
          </a:r>
          <a:r>
            <a:rPr lang="en-US" cap="none" sz="1400" b="1" i="0" u="none" baseline="0">
              <a:solidFill>
                <a:srgbClr val="993366"/>
              </a:solidFill>
              <a:latin typeface="AvantGarde"/>
              <a:ea typeface="AvantGarde"/>
              <a:cs typeface="AvantGarde"/>
            </a:rPr>
            <a:t>         </a:t>
          </a:r>
          <a:r>
            <a:rPr lang="en-US" cap="none" sz="1400" b="1" i="1" u="none" baseline="0">
              <a:solidFill>
                <a:srgbClr val="993366"/>
              </a:solidFill>
              <a:latin typeface="AvantGarde"/>
              <a:ea typeface="AvantGarde"/>
              <a:cs typeface="AvantGarde"/>
            </a:rPr>
            <a:t>   </a:t>
          </a:r>
          <a:r>
            <a:rPr lang="en-US" cap="none" sz="1400" b="1" i="1" u="none" baseline="0">
              <a:solidFill>
                <a:srgbClr val="993366"/>
              </a:solidFill>
              <a:latin typeface="Book Antiqua"/>
              <a:ea typeface="Book Antiqua"/>
              <a:cs typeface="Book Antiqua"/>
            </a:rPr>
            <a:t>            Le test sur une variance et l'efficacité du test.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993366"/>
              </a:solidFill>
              <a:latin typeface="Book Antiqua"/>
              <a:ea typeface="Book Antiqua"/>
              <a:cs typeface="Book Antiqua"/>
            </a:rPr>
            <a:t>Ce classeur permet de visualiser l'efficacité d'un test en faisant varier la variance réelle de la variable à l'étude.
Le contexte statistique :</a:t>
          </a:r>
          <a:r>
            <a:rPr lang="en-US" cap="none" sz="1200" b="1" i="0" u="none" baseline="0">
              <a:solidFill>
                <a:srgbClr val="993366"/>
              </a:solidFill>
              <a:latin typeface="Book Antiqua"/>
              <a:ea typeface="Book Antiqua"/>
              <a:cs typeface="Book Antiqua"/>
            </a:rPr>
            <a:t>
        O</a:t>
          </a:r>
          <a:r>
            <a:rPr lang="en-US" cap="none" sz="1200" b="0" i="0" u="none" baseline="0">
              <a:solidFill>
                <a:srgbClr val="993366"/>
              </a:solidFill>
              <a:latin typeface="Book Antiqua"/>
              <a:ea typeface="Book Antiqua"/>
              <a:cs typeface="Book Antiqua"/>
            </a:rPr>
            <a:t>n suppose que la variable à l'étude </a:t>
          </a:r>
          <a:r>
            <a:rPr lang="en-US" cap="none" sz="1200" b="0" i="1" u="none" baseline="0">
              <a:solidFill>
                <a:srgbClr val="993366"/>
              </a:solidFill>
              <a:latin typeface="Book Antiqua"/>
              <a:ea typeface="Book Antiqua"/>
              <a:cs typeface="Book Antiqua"/>
            </a:rPr>
            <a:t>X</a:t>
          </a:r>
          <a:r>
            <a:rPr lang="en-US" cap="none" sz="1200" b="0" i="0" u="none" baseline="0">
              <a:solidFill>
                <a:srgbClr val="993366"/>
              </a:solidFill>
              <a:latin typeface="Book Antiqua"/>
              <a:ea typeface="Book Antiqua"/>
              <a:cs typeface="Book Antiqua"/>
            </a:rPr>
            <a:t> est distribuée normalement dans la population.
Les différents paramètres d'un test sur une variance sont fournis par l'utilisateur dans les cellules grises comme celle-ci:
On suppose un échantillonnage indépendant.</a:t>
          </a:r>
        </a:p>
      </xdr:txBody>
    </xdr:sp>
    <xdr:clientData/>
  </xdr:twoCellAnchor>
  <xdr:twoCellAnchor>
    <xdr:from>
      <xdr:col>3</xdr:col>
      <xdr:colOff>295275</xdr:colOff>
      <xdr:row>14</xdr:row>
      <xdr:rowOff>0</xdr:rowOff>
    </xdr:from>
    <xdr:to>
      <xdr:col>4</xdr:col>
      <xdr:colOff>295275</xdr:colOff>
      <xdr:row>15</xdr:row>
      <xdr:rowOff>9525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581275" y="2266950"/>
          <a:ext cx="762000" cy="171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238125</xdr:colOff>
      <xdr:row>7</xdr:row>
      <xdr:rowOff>19050</xdr:rowOff>
    </xdr:from>
    <xdr:to>
      <xdr:col>11</xdr:col>
      <xdr:colOff>361950</xdr:colOff>
      <xdr:row>22</xdr:row>
      <xdr:rowOff>171450</xdr:rowOff>
    </xdr:to>
    <xdr:graphicFrame>
      <xdr:nvGraphicFramePr>
        <xdr:cNvPr id="1" name="Chart 4"/>
        <xdr:cNvGraphicFramePr/>
      </xdr:nvGraphicFramePr>
      <xdr:xfrm>
        <a:off x="1419225" y="1343025"/>
        <a:ext cx="31718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438150</xdr:colOff>
      <xdr:row>7</xdr:row>
      <xdr:rowOff>28575</xdr:rowOff>
    </xdr:from>
    <xdr:to>
      <xdr:col>14</xdr:col>
      <xdr:colOff>295275</xdr:colOff>
      <xdr:row>22</xdr:row>
      <xdr:rowOff>171450</xdr:rowOff>
    </xdr:to>
    <xdr:graphicFrame>
      <xdr:nvGraphicFramePr>
        <xdr:cNvPr id="2" name="Chart 11"/>
        <xdr:cNvGraphicFramePr/>
      </xdr:nvGraphicFramePr>
      <xdr:xfrm>
        <a:off x="4667250" y="1352550"/>
        <a:ext cx="21431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6</xdr:row>
      <xdr:rowOff>95250</xdr:rowOff>
    </xdr:from>
    <xdr:to>
      <xdr:col>5</xdr:col>
      <xdr:colOff>476250</xdr:colOff>
      <xdr:row>7</xdr:row>
      <xdr:rowOff>133350</xdr:rowOff>
    </xdr:to>
    <xdr:sp macro="[0]!AjusterGraphe">
      <xdr:nvSpPr>
        <xdr:cNvPr id="3" name="TextBox 14"/>
        <xdr:cNvSpPr txBox="1">
          <a:spLocks noChangeArrowheads="1"/>
        </xdr:cNvSpPr>
      </xdr:nvSpPr>
      <xdr:spPr>
        <a:xfrm>
          <a:off x="1333500" y="1247775"/>
          <a:ext cx="1038225" cy="209550"/>
        </a:xfrm>
        <a:prstGeom prst="rect">
          <a:avLst/>
        </a:prstGeom>
        <a:gradFill rotWithShape="1">
          <a:gsLst>
            <a:gs pos="0">
              <a:srgbClr val="D9E8F8"/>
            </a:gs>
            <a:gs pos="100000">
              <a:srgbClr val="A6CAF0"/>
            </a:gs>
          </a:gsLst>
          <a:path path="rect">
            <a:fillToRect l="50000" t="50000" r="50000" b="50000"/>
          </a:path>
        </a:gra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Rafraichir le graphe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showGridLines="0" showRowColHeaders="0" workbookViewId="0" topLeftCell="A1">
      <selection activeCell="K23" sqref="K23"/>
    </sheetView>
  </sheetViews>
  <sheetFormatPr defaultColWidth="11.421875" defaultRowHeight="12.75"/>
  <sheetData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r:id="rId2"/>
  <headerFooter alignWithMargins="0">
    <oddHeader>&amp;C&amp;A</oddHeader>
    <oddFooter>&amp;CTestVar.xls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W130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2" width="4.7109375" style="0" customWidth="1"/>
    <col min="3" max="3" width="1.8515625" style="0" customWidth="1"/>
    <col min="4" max="4" width="6.421875" style="0" customWidth="1"/>
    <col min="5" max="5" width="10.7109375" style="0" bestFit="1" customWidth="1"/>
    <col min="6" max="6" width="7.57421875" style="0" customWidth="1"/>
    <col min="7" max="9" width="3.00390625" style="0" customWidth="1"/>
    <col min="10" max="10" width="7.7109375" style="0" customWidth="1"/>
    <col min="11" max="11" width="10.7109375" style="0" bestFit="1" customWidth="1"/>
  </cols>
  <sheetData>
    <row r="1" spans="1:23" ht="13.5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3.5" thickBot="1">
      <c r="A2" s="21" t="s">
        <v>0</v>
      </c>
      <c r="B2" s="21"/>
      <c r="C2" s="20"/>
      <c r="D2" s="20"/>
      <c r="E2" s="20"/>
      <c r="F2" s="78"/>
      <c r="G2" s="78"/>
      <c r="H2" s="78"/>
      <c r="I2" s="78"/>
      <c r="J2" s="78"/>
      <c r="K2" s="22" t="s">
        <v>24</v>
      </c>
      <c r="L2" s="61" t="s">
        <v>35</v>
      </c>
      <c r="M2" s="23" t="s">
        <v>2</v>
      </c>
      <c r="N2" s="24" t="s">
        <v>3</v>
      </c>
      <c r="O2" s="20"/>
      <c r="P2" s="20"/>
      <c r="Q2" s="20"/>
      <c r="R2" s="20"/>
      <c r="S2" s="20"/>
      <c r="T2" s="20"/>
      <c r="U2" s="20"/>
      <c r="V2" s="20"/>
      <c r="W2" s="20"/>
    </row>
    <row r="3" spans="1:23" ht="16.5" thickTop="1">
      <c r="A3" s="62" t="s">
        <v>6</v>
      </c>
      <c r="B3" s="63" t="s">
        <v>28</v>
      </c>
      <c r="C3" s="64" t="s">
        <v>27</v>
      </c>
      <c r="D3" s="65">
        <f>var0</f>
        <v>225</v>
      </c>
      <c r="E3" s="20"/>
      <c r="F3" s="72" t="s">
        <v>1</v>
      </c>
      <c r="G3" s="73"/>
      <c r="H3" s="73"/>
      <c r="I3" s="73"/>
      <c r="J3" s="74"/>
      <c r="K3" s="25" t="s">
        <v>36</v>
      </c>
      <c r="L3" s="26" t="s">
        <v>36</v>
      </c>
      <c r="M3" s="27" t="s">
        <v>4</v>
      </c>
      <c r="N3" s="28" t="s">
        <v>5</v>
      </c>
      <c r="O3" s="20"/>
      <c r="P3" s="20"/>
      <c r="Q3" s="20"/>
      <c r="R3" s="20"/>
      <c r="S3" s="20"/>
      <c r="T3" s="20"/>
      <c r="U3" s="20"/>
      <c r="V3" s="20"/>
      <c r="W3" s="20"/>
    </row>
    <row r="4" spans="1:23" ht="16.5" thickBot="1">
      <c r="A4" s="66" t="s">
        <v>7</v>
      </c>
      <c r="B4" s="67" t="s">
        <v>28</v>
      </c>
      <c r="C4" s="68" t="str">
        <f>IF(nature="bi","¹",IF(nature="gauche","&lt;",IF(nature="droite","&gt;","")))</f>
        <v>¹</v>
      </c>
      <c r="D4" s="69">
        <f>var0</f>
        <v>225</v>
      </c>
      <c r="E4" s="20"/>
      <c r="F4" s="75" t="s">
        <v>25</v>
      </c>
      <c r="G4" s="76"/>
      <c r="H4" s="76"/>
      <c r="I4" s="76"/>
      <c r="J4" s="77"/>
      <c r="K4" s="20"/>
      <c r="L4" s="29">
        <f>var0-(2.9*var0/SQRT(n/2))/10*(20-anim)</f>
        <v>363.41615241726663</v>
      </c>
      <c r="M4" s="30">
        <f>IF(nature="gauche",CHIDIST(point_crit_1*(n-1)/var1,n-1),IF(nature="droite",1-CHIDIST(point_crit_2*(n-1)/var1,n-1),CHIDIST(point_crit_1*(n-1)/var1,n-1)-CHIDIST(point_crit_2*(n-1)/var1,n-1)))</f>
        <v>0.5778675910761017</v>
      </c>
      <c r="N4" s="31">
        <f>1-M4</f>
        <v>0.42213240892389825</v>
      </c>
      <c r="O4" s="20"/>
      <c r="P4" s="20"/>
      <c r="Q4" s="20"/>
      <c r="R4" s="20"/>
      <c r="S4" s="20"/>
      <c r="T4" s="20"/>
      <c r="U4" s="20"/>
      <c r="V4" s="20"/>
      <c r="W4" s="20"/>
    </row>
    <row r="5" spans="1:23" ht="16.5" thickBot="1" thickTop="1">
      <c r="A5" s="20"/>
      <c r="B5" s="20"/>
      <c r="C5" s="20"/>
      <c r="D5" s="20"/>
      <c r="E5" s="20"/>
      <c r="F5" s="32">
        <f>IF(OR(nature="gauche",nature="bi"),chi1*var0/(n-1),"")</f>
        <v>108.91402158619279</v>
      </c>
      <c r="G5" s="33" t="str">
        <f>IF(OR(nature="gauche",nature="bi"),"&lt;","")</f>
        <v>&lt;</v>
      </c>
      <c r="H5" s="60" t="s">
        <v>34</v>
      </c>
      <c r="I5" s="33" t="str">
        <f>IF(OR(nature="droite",nature="bi"),"&lt;","")</f>
        <v>&lt;</v>
      </c>
      <c r="J5" s="34">
        <f>IF(OR(nature="droite",nature="bi"),chi2*var0/(n-1),"")</f>
        <v>374.9369503594606</v>
      </c>
      <c r="K5" s="20"/>
      <c r="L5" s="35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4.25" thickBot="1">
      <c r="A6" s="20"/>
      <c r="B6" s="20"/>
      <c r="C6" s="36" t="s">
        <v>26</v>
      </c>
      <c r="D6" s="20"/>
      <c r="E6" s="20"/>
      <c r="F6" s="20"/>
      <c r="G6" s="20"/>
      <c r="H6" s="20"/>
      <c r="I6" s="20"/>
      <c r="J6" s="20"/>
      <c r="K6" s="37"/>
      <c r="L6" s="18">
        <v>400</v>
      </c>
      <c r="M6" s="30">
        <f>IF(nature="gauche",CHIDIST(point_crit_1*(n-1)/var2,n-1),IF(nature="droite",1-CHIDIST(point_crit_2*(n-1)/var2,n-1),CHIDIST(point_crit_1*(n-1)/var2,n-1)-CHIDIST(point_crit_2*(n-1)/var2,n-1)))</f>
        <v>0.47647486432553443</v>
      </c>
      <c r="N6" s="38">
        <f>1-M6</f>
        <v>0.5235251356744656</v>
      </c>
      <c r="O6" s="20"/>
      <c r="P6" s="20"/>
      <c r="Q6" s="20"/>
      <c r="R6" s="20"/>
      <c r="S6" s="20"/>
      <c r="T6" s="20"/>
      <c r="U6" s="20"/>
      <c r="V6" s="20"/>
      <c r="W6" s="20"/>
    </row>
    <row r="7" spans="1:23" ht="13.5" thickBot="1">
      <c r="A7" s="20"/>
      <c r="B7" s="20"/>
      <c r="C7" s="39"/>
      <c r="D7" s="19" t="str">
        <f>IF(cas=1,"gauche",IF(cas=2,"bi",IF(cas=3,"droite","à préciser")))</f>
        <v>bi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15.75">
      <c r="A9" s="20"/>
      <c r="B9" s="46" t="s">
        <v>32</v>
      </c>
      <c r="C9" s="47" t="s">
        <v>29</v>
      </c>
      <c r="D9" s="48">
        <v>225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2.75">
      <c r="A10" s="20"/>
      <c r="B10" s="49" t="s">
        <v>30</v>
      </c>
      <c r="C10" s="47" t="s">
        <v>27</v>
      </c>
      <c r="D10" s="50">
        <v>0.1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2.75">
      <c r="A11" s="20"/>
      <c r="B11" s="51" t="s">
        <v>31</v>
      </c>
      <c r="C11" s="52" t="s">
        <v>27</v>
      </c>
      <c r="D11" s="48">
        <v>16</v>
      </c>
      <c r="E11" s="20"/>
      <c r="F11" s="20"/>
      <c r="G11" s="20"/>
      <c r="H11" s="20"/>
      <c r="I11" s="20"/>
      <c r="J11" s="20"/>
      <c r="K11" s="20"/>
      <c r="L11" s="4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2.75">
      <c r="A12" s="20"/>
      <c r="B12" s="45"/>
      <c r="C12" s="45"/>
      <c r="D12" s="7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2.75">
      <c r="A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ht="15.75" thickBot="1">
      <c r="A16" s="79" t="s">
        <v>33</v>
      </c>
      <c r="B16" s="79"/>
      <c r="C16" s="79"/>
      <c r="D16" s="7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ht="17.25">
      <c r="A17" s="53" t="str">
        <f>IF(nature="gauche","","c2")</f>
        <v>c2</v>
      </c>
      <c r="B17" s="41" t="str">
        <f>IF(nature="bi","a/2",IF(nature="droite","a",""))</f>
        <v>a/2</v>
      </c>
      <c r="C17" s="54" t="str">
        <f>IF(nature="gauche","","=")</f>
        <v>=</v>
      </c>
      <c r="D17" s="42">
        <f>IF(nature="bi",CHIINV(alpha/2,n-1),IF(nature="droite",CHIINV(alpha,n-1),""))</f>
        <v>24.995796690630705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18" thickBot="1">
      <c r="A18" s="56" t="str">
        <f>IF(nature="droite","","c2")</f>
        <v>c2</v>
      </c>
      <c r="B18" s="57" t="str">
        <f>IF(nature="bi","1-a/2",IF(nature="gauche","1-a",""))</f>
        <v>1-a/2</v>
      </c>
      <c r="C18" s="59" t="str">
        <f>IF(nature="droite","","=")</f>
        <v>=</v>
      </c>
      <c r="D18" s="58">
        <f>IF(nature="bi",CHIINV(1-alpha/2,n-1),IF(nature="gauche",CHIINV(1-alpha,n-1),""))</f>
        <v>7.260934772412853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5:23" ht="12.75"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5:23" ht="12.75"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5:23" ht="12.75"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15">
      <c r="A23" s="44"/>
      <c r="B23" s="44"/>
      <c r="C23" s="43"/>
      <c r="D23" s="5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2.75">
      <c r="A24" s="44"/>
      <c r="B24" s="44"/>
      <c r="C24" s="44"/>
      <c r="D24" s="44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7" spans="5:6" ht="12.75">
      <c r="E37">
        <f>var0/SQRT(n/2)</f>
        <v>79.54951288348659</v>
      </c>
      <c r="F37">
        <f>var1/SQRT(n/2)</f>
        <v>128.48701288348656</v>
      </c>
    </row>
    <row r="38" spans="13:14" ht="13.5" thickBot="1">
      <c r="M38" s="15">
        <f>var0-(2.9*var0/SQRT(n/2))/10*(20-anim)</f>
        <v>363.41615241726663</v>
      </c>
      <c r="N38">
        <v>0</v>
      </c>
    </row>
    <row r="39" spans="13:14" ht="13.5" thickBot="1">
      <c r="M39" s="15">
        <f>var0-(2.9*var0/SQRT(n/2))/10*(20-anim)</f>
        <v>363.41615241726663</v>
      </c>
      <c r="N39" s="16">
        <f>IF(nature="gauche",CHIDIST(point_crit_1*(n-1)/var1,n-1),IF(nature="droite",1-CHIDIST(point_crit_2*(n-1)/var1,n-1),CHIDIST(point_crit_1*(n-1)/var1,n-1)-CHIDIST(point_crit_2*(n-1)/var1,n-1)))</f>
        <v>0.5778675910761017</v>
      </c>
    </row>
    <row r="40" ht="12.75">
      <c r="E40" s="12" t="s">
        <v>8</v>
      </c>
    </row>
    <row r="41" ht="12.75">
      <c r="E41" s="13">
        <v>2</v>
      </c>
    </row>
    <row r="42" ht="13.5" thickBot="1">
      <c r="E42" s="14">
        <v>26</v>
      </c>
    </row>
    <row r="44" spans="5:11" ht="13.5" thickBot="1">
      <c r="E44">
        <f>MAX(E48:E96)</f>
        <v>0.077000109279793</v>
      </c>
      <c r="K44">
        <f>MAX(K48:K88)</f>
        <v>0.047672687283478905</v>
      </c>
    </row>
    <row r="45" spans="4:20" ht="15.75">
      <c r="D45" s="3" t="s">
        <v>9</v>
      </c>
      <c r="E45" s="4"/>
      <c r="J45" s="3" t="s">
        <v>9</v>
      </c>
      <c r="K45" s="4"/>
      <c r="M45" s="3" t="s">
        <v>10</v>
      </c>
      <c r="N45" s="4"/>
      <c r="P45" s="3" t="s">
        <v>37</v>
      </c>
      <c r="Q45" s="4"/>
      <c r="S45" s="3" t="s">
        <v>11</v>
      </c>
      <c r="T45" s="4"/>
    </row>
    <row r="46" spans="4:20" ht="12.75">
      <c r="D46" s="5" t="s">
        <v>12</v>
      </c>
      <c r="E46" s="6"/>
      <c r="J46" s="5" t="s">
        <v>13</v>
      </c>
      <c r="K46" s="6"/>
      <c r="M46" s="5"/>
      <c r="N46" s="6"/>
      <c r="P46" s="5"/>
      <c r="Q46" s="6"/>
      <c r="S46" s="5"/>
      <c r="T46" s="6"/>
    </row>
    <row r="47" spans="4:20" ht="12.75">
      <c r="D47" s="5"/>
      <c r="E47" s="6"/>
      <c r="J47" s="5"/>
      <c r="K47" s="6"/>
      <c r="M47" s="5">
        <f>IF(nature="droite",point_crit_2,point_crit_1)</f>
        <v>108.91402158619279</v>
      </c>
      <c r="N47" s="6">
        <v>0</v>
      </c>
      <c r="P47" s="5">
        <f>var0</f>
        <v>225</v>
      </c>
      <c r="Q47" s="6">
        <v>0</v>
      </c>
      <c r="S47" s="10">
        <f>MAX(0,var0-3*ect0)</f>
        <v>0</v>
      </c>
      <c r="T47" s="6" t="s">
        <v>14</v>
      </c>
    </row>
    <row r="48" spans="4:20" ht="13.5" thickBot="1">
      <c r="D48" s="5">
        <f>var0-3*ect0</f>
        <v>-13.648538650459756</v>
      </c>
      <c r="E48" s="6">
        <f aca="true" t="shared" si="0" ref="E48:E79">IF(D48&lt;0,0,GAMMADIST(D48*(n-1)/var0,(n-1)/2,2,0))</f>
        <v>0</v>
      </c>
      <c r="J48" s="5">
        <f>var1-3*ect1</f>
        <v>-22.04488623319304</v>
      </c>
      <c r="K48" s="6">
        <f aca="true" t="shared" si="1" ref="K48:K88">IF(J48&lt;0,0,GAMMADIST(J48*(n-1)/var1,(n-1)/2,2,0)*var0/var1)</f>
        <v>0</v>
      </c>
      <c r="M48" s="5">
        <f>IF(nature="droite",point_crit_2,point_crit_1)</f>
        <v>108.91402158619279</v>
      </c>
      <c r="N48" s="6">
        <f>IF(nature="droite",0,GAMMADIST(point_crit_1*(n-1)/var0,n/2,2,0))</f>
        <v>0.021856735326753828</v>
      </c>
      <c r="P48" s="7">
        <f>var0</f>
        <v>225</v>
      </c>
      <c r="Q48" s="8">
        <f>GAMMADIST(n-1,(n-1)/2,2,0)</f>
        <v>0.07203221830472696</v>
      </c>
      <c r="S48" s="10" t="e">
        <f>mu0+9*etxbarre</f>
        <v>#NAME?</v>
      </c>
      <c r="T48" s="6" t="s">
        <v>15</v>
      </c>
    </row>
    <row r="49" spans="4:20" ht="13.5" thickBot="1">
      <c r="D49" s="5">
        <f>D48+6*ect0/20</f>
        <v>10.21631521458622</v>
      </c>
      <c r="E49" s="6">
        <f t="shared" si="0"/>
        <v>1.730077557858623E-07</v>
      </c>
      <c r="J49" s="5">
        <f>J48+6*ect1/20</f>
        <v>16.501217631852924</v>
      </c>
      <c r="K49" s="6">
        <f t="shared" si="1"/>
        <v>1.0711341472550818E-07</v>
      </c>
      <c r="M49" s="5"/>
      <c r="N49" s="6"/>
      <c r="S49" s="10"/>
      <c r="T49" s="6"/>
    </row>
    <row r="50" spans="4:20" ht="16.5" thickBot="1">
      <c r="D50" s="5">
        <f aca="true" t="shared" si="2" ref="D50:D96">D49+6*ect0/20</f>
        <v>34.0811690796322</v>
      </c>
      <c r="E50" s="6">
        <f t="shared" si="0"/>
        <v>0.00019657022085382427</v>
      </c>
      <c r="J50" s="5">
        <f aca="true" t="shared" si="3" ref="J50:J88">J49+6*ect1/20</f>
        <v>55.04732149689889</v>
      </c>
      <c r="K50" s="6">
        <f t="shared" si="1"/>
        <v>0.00012170152426612142</v>
      </c>
      <c r="M50" s="5">
        <f>IF(nature="gauche",point_crit_1,point_crit_2)</f>
        <v>374.9369503594606</v>
      </c>
      <c r="N50" s="6">
        <v>0</v>
      </c>
      <c r="P50" s="3" t="s">
        <v>38</v>
      </c>
      <c r="Q50" s="4"/>
      <c r="S50" s="11" t="e">
        <f>max</f>
        <v>#NAME?</v>
      </c>
      <c r="T50" s="8">
        <v>0</v>
      </c>
    </row>
    <row r="51" spans="4:17" ht="13.5" thickBot="1">
      <c r="D51" s="5">
        <f t="shared" si="2"/>
        <v>57.94602294467818</v>
      </c>
      <c r="E51" s="6">
        <f t="shared" si="0"/>
        <v>0.002794782768619275</v>
      </c>
      <c r="J51" s="5">
        <f t="shared" si="3"/>
        <v>93.59342536194485</v>
      </c>
      <c r="K51" s="6">
        <f t="shared" si="1"/>
        <v>0.0017303196865540835</v>
      </c>
      <c r="M51" s="7">
        <f>IF(nature="gauche",point_crit_1,point_crit_2)</f>
        <v>374.9369503594606</v>
      </c>
      <c r="N51" s="6">
        <f>IF(nature="gauche",0,GAMMADIST(point_crit_2*(n-1)/var0,n/2,2,0))</f>
        <v>0.017645342663866425</v>
      </c>
      <c r="P51" s="5"/>
      <c r="Q51" s="6"/>
    </row>
    <row r="52" spans="4:17" ht="13.5" thickBot="1">
      <c r="D52" s="5">
        <f t="shared" si="2"/>
        <v>81.81087680972415</v>
      </c>
      <c r="E52" s="6">
        <f t="shared" si="0"/>
        <v>0.011870994339468631</v>
      </c>
      <c r="J52" s="5">
        <f t="shared" si="3"/>
        <v>132.13952922699082</v>
      </c>
      <c r="K52" s="6">
        <f t="shared" si="1"/>
        <v>0.00734962854186427</v>
      </c>
      <c r="P52" s="5">
        <f>var1</f>
        <v>363.41615241726663</v>
      </c>
      <c r="Q52" s="6">
        <v>0</v>
      </c>
    </row>
    <row r="53" spans="4:17" ht="13.5" thickBot="1">
      <c r="D53" s="5">
        <f t="shared" si="2"/>
        <v>105.67573067477012</v>
      </c>
      <c r="E53" s="6">
        <f t="shared" si="0"/>
        <v>0.028286247156924064</v>
      </c>
      <c r="J53" s="5">
        <f t="shared" si="3"/>
        <v>170.68563309203677</v>
      </c>
      <c r="K53" s="6">
        <f t="shared" si="1"/>
        <v>0.01751272079673675</v>
      </c>
      <c r="M53" s="3" t="s">
        <v>16</v>
      </c>
      <c r="N53" s="4"/>
      <c r="P53" s="7">
        <f>var1</f>
        <v>363.41615241726663</v>
      </c>
      <c r="Q53" s="8">
        <f>IF(P53&lt;0,0,GAMMADIST(n-1,(n-1)/2,2,0)*var0/var1)</f>
        <v>0.04459694213028471</v>
      </c>
    </row>
    <row r="54" spans="4:14" ht="13.5" thickBot="1">
      <c r="D54" s="5">
        <f t="shared" si="2"/>
        <v>129.5405845398161</v>
      </c>
      <c r="E54" s="6">
        <f t="shared" si="0"/>
        <v>0.04796175231539334</v>
      </c>
      <c r="J54" s="5">
        <f t="shared" si="3"/>
        <v>209.23173695708272</v>
      </c>
      <c r="K54" s="6">
        <f t="shared" si="1"/>
        <v>0.029694316554683662</v>
      </c>
      <c r="M54" s="5" t="s">
        <v>17</v>
      </c>
      <c r="N54" s="6" t="s">
        <v>18</v>
      </c>
    </row>
    <row r="55" spans="4:20" ht="12.75">
      <c r="D55" s="5">
        <f t="shared" si="2"/>
        <v>153.40543840486208</v>
      </c>
      <c r="E55" s="6">
        <f t="shared" si="0"/>
        <v>0.06497447382781833</v>
      </c>
      <c r="J55" s="5">
        <f t="shared" si="3"/>
        <v>247.77784082212867</v>
      </c>
      <c r="K55" s="6">
        <f t="shared" si="1"/>
        <v>0.04022731657362771</v>
      </c>
      <c r="M55" s="5"/>
      <c r="N55" s="6"/>
      <c r="P55" s="3" t="s">
        <v>19</v>
      </c>
      <c r="Q55" s="4"/>
      <c r="S55" s="3" t="s">
        <v>19</v>
      </c>
      <c r="T55" s="4"/>
    </row>
    <row r="56" spans="4:20" ht="12.75">
      <c r="D56" s="5">
        <f t="shared" si="2"/>
        <v>177.27029226990805</v>
      </c>
      <c r="E56" s="6">
        <f t="shared" si="0"/>
        <v>0.07506413013274872</v>
      </c>
      <c r="J56" s="5">
        <f t="shared" si="3"/>
        <v>286.3239446871746</v>
      </c>
      <c r="K56" s="6">
        <f t="shared" si="1"/>
        <v>0.04647407432919056</v>
      </c>
      <c r="M56" s="5" t="e">
        <f>IF(nature="gauche",point_crit_1-etxbarre/10,IF(nature="droite",point_crit_2+etxbarre/10,mu0))</f>
        <v>#NAME?</v>
      </c>
      <c r="N56" s="6">
        <f>IF(nature="bi",0,NORMDIST(M56,mu0,etxbarre,0))</f>
        <v>0</v>
      </c>
      <c r="P56" s="5" t="s">
        <v>20</v>
      </c>
      <c r="Q56" s="6"/>
      <c r="S56" s="5" t="s">
        <v>21</v>
      </c>
      <c r="T56" s="6"/>
    </row>
    <row r="57" spans="4:20" ht="12.75">
      <c r="D57" s="5">
        <f t="shared" si="2"/>
        <v>201.13514613495403</v>
      </c>
      <c r="E57" s="6">
        <f t="shared" si="0"/>
        <v>0.077000109279793</v>
      </c>
      <c r="J57" s="5">
        <f t="shared" si="3"/>
        <v>324.87004855222057</v>
      </c>
      <c r="K57" s="6">
        <f t="shared" si="1"/>
        <v>0.047672687283478905</v>
      </c>
      <c r="M57" s="5" t="e">
        <f>IF(nature="gauche",point_crit_1-etxbarre/10,IF(nature="droite",point_crit_2+etxbarre/10,mu0))</f>
        <v>#NAME?</v>
      </c>
      <c r="N57" s="6">
        <v>0</v>
      </c>
      <c r="P57" s="5"/>
      <c r="Q57" s="6"/>
      <c r="S57" s="5"/>
      <c r="T57" s="6"/>
    </row>
    <row r="58" spans="4:20" ht="12.75">
      <c r="D58" s="5">
        <f t="shared" si="2"/>
        <v>225</v>
      </c>
      <c r="E58" s="6">
        <f t="shared" si="0"/>
        <v>0.07203221830472696</v>
      </c>
      <c r="J58" s="5">
        <f t="shared" si="3"/>
        <v>363.4161524172665</v>
      </c>
      <c r="K58" s="6">
        <f t="shared" si="1"/>
        <v>0.044596942130284666</v>
      </c>
      <c r="M58" s="5" t="e">
        <f aca="true" t="shared" si="4" ref="M58:M67">IF(nature="gauche",M56-3*etxbarre/10,IF(nature="droite",M56+3*etxbarre/10,mu0))</f>
        <v>#NAME?</v>
      </c>
      <c r="N58" s="6">
        <f>IF(nature="bi",0,NORMDIST(M58,mu0,etxbarre,0))</f>
        <v>0</v>
      </c>
      <c r="P58" s="5">
        <f>IF(nature="bi",point_crit_1+(point_crit_2-point_crit_1)/20,var0)</f>
        <v>122.21516802485618</v>
      </c>
      <c r="Q58" s="6">
        <f>0</f>
        <v>0</v>
      </c>
      <c r="S58" s="5">
        <f>IF(nature="gauche",point_crit_1+(var1+3*ect1-point_crit_1)/20,IF(nature="droite",point_crit_2-(point_crit_2-(var1-3*ect1))/20,var0))</f>
        <v>225</v>
      </c>
      <c r="T58" s="6">
        <f>0</f>
        <v>0</v>
      </c>
    </row>
    <row r="59" spans="4:20" ht="12.75">
      <c r="D59" s="5">
        <f t="shared" si="2"/>
        <v>248.86485386504597</v>
      </c>
      <c r="E59" s="6">
        <f t="shared" si="0"/>
        <v>0.0626072264751206</v>
      </c>
      <c r="J59" s="5">
        <f t="shared" si="3"/>
        <v>401.96225628231247</v>
      </c>
      <c r="K59" s="6">
        <f t="shared" si="1"/>
        <v>0.03876169472161545</v>
      </c>
      <c r="M59" s="5" t="e">
        <f t="shared" si="4"/>
        <v>#NAME?</v>
      </c>
      <c r="N59" s="6">
        <v>0</v>
      </c>
      <c r="P59" s="5">
        <f>IF(nature="bi",point_crit_1+(point_crit_2-point_crit_1)/20,var0)</f>
        <v>122.21516802485618</v>
      </c>
      <c r="Q59" s="6">
        <f>IF(nature="bi",GAMMADIST(P59*(n-1)/var1,(n-1)/2,2,0)*var0/var1,0)</f>
        <v>0.005430193087883812</v>
      </c>
      <c r="S59" s="5">
        <f>IF(nature="gauche",point_crit_1+(var1+3*ect1-point_crit_1)/20,IF(nature="droite",point_crit_2-(point_crit_2-(var1-3*ect1))/20,var0))</f>
        <v>225</v>
      </c>
      <c r="T59" s="6">
        <f>IF(nature="bi",0,GAMMADIST(S59*(n-1)/var1,(n-1)/2,2,0)*var0/var1)</f>
        <v>0</v>
      </c>
    </row>
    <row r="60" spans="4:20" ht="12.75">
      <c r="D60" s="5">
        <f t="shared" si="2"/>
        <v>272.72970773009195</v>
      </c>
      <c r="E60" s="6">
        <f t="shared" si="0"/>
        <v>0.05124400183977212</v>
      </c>
      <c r="J60" s="5">
        <f t="shared" si="3"/>
        <v>440.5083601473584</v>
      </c>
      <c r="K60" s="6">
        <f t="shared" si="1"/>
        <v>0.031726439062373706</v>
      </c>
      <c r="M60" s="5" t="e">
        <f t="shared" si="4"/>
        <v>#NAME?</v>
      </c>
      <c r="N60" s="6">
        <f>IF(nature="bi",0,NORMDIST(M60,mu0,etxbarre,0))</f>
        <v>0</v>
      </c>
      <c r="P60" s="5">
        <f aca="true" t="shared" si="5" ref="P60:P95">IF(nature="bi",P58+(point_crit_2-point_crit_1)/20,var0)</f>
        <v>135.51631446351956</v>
      </c>
      <c r="Q60" s="6">
        <f>0</f>
        <v>0</v>
      </c>
      <c r="S60" s="5">
        <f aca="true" t="shared" si="6" ref="S60:S95">IF(nature="gauche",S58+(var1+3*ect1-point_crit_1)/20,IF(nature="droite",S58-(point_crit_2-(var1-3*ect1))/20,var0))</f>
        <v>225</v>
      </c>
      <c r="T60" s="6">
        <f>0</f>
        <v>0</v>
      </c>
    </row>
    <row r="61" spans="4:20" ht="12.75">
      <c r="D61" s="5">
        <f t="shared" si="2"/>
        <v>296.5945615951379</v>
      </c>
      <c r="E61" s="6">
        <f t="shared" si="0"/>
        <v>0.039899153322672465</v>
      </c>
      <c r="J61" s="5">
        <f t="shared" si="3"/>
        <v>479.05446401240437</v>
      </c>
      <c r="K61" s="6">
        <f t="shared" si="1"/>
        <v>0.02470256051606034</v>
      </c>
      <c r="M61" s="5" t="e">
        <f t="shared" si="4"/>
        <v>#NAME?</v>
      </c>
      <c r="N61" s="6">
        <v>0</v>
      </c>
      <c r="P61" s="5">
        <f t="shared" si="5"/>
        <v>135.51631446351956</v>
      </c>
      <c r="Q61" s="6">
        <f>IF(nature="bi",GAMMADIST(P61*(n-1)/var1,(n-1)/2,2,0)*var0/var1,0)</f>
        <v>0.008076672578671364</v>
      </c>
      <c r="S61" s="5">
        <f t="shared" si="6"/>
        <v>225</v>
      </c>
      <c r="T61" s="6">
        <f>IF(nature="bi",0,GAMMADIST(S61*(n-1)/var1,(n-1)/2,2,0)*var0/var1)</f>
        <v>0</v>
      </c>
    </row>
    <row r="62" spans="4:20" ht="12.75">
      <c r="D62" s="5">
        <f t="shared" si="2"/>
        <v>320.4594154601839</v>
      </c>
      <c r="E62" s="6">
        <f t="shared" si="0"/>
        <v>0.029781637804916182</v>
      </c>
      <c r="J62" s="5">
        <f t="shared" si="3"/>
        <v>517.6005678774503</v>
      </c>
      <c r="K62" s="6">
        <f t="shared" si="1"/>
        <v>0.018438554427301215</v>
      </c>
      <c r="M62" s="5" t="e">
        <f t="shared" si="4"/>
        <v>#NAME?</v>
      </c>
      <c r="N62" s="6">
        <f>IF(nature="bi",0,NORMDIST(M62,mu0,etxbarre,0))</f>
        <v>0</v>
      </c>
      <c r="P62" s="5">
        <f t="shared" si="5"/>
        <v>148.81746090218294</v>
      </c>
      <c r="Q62" s="6">
        <f>0</f>
        <v>0</v>
      </c>
      <c r="S62" s="5">
        <f t="shared" si="6"/>
        <v>225</v>
      </c>
      <c r="T62" s="6">
        <f>0</f>
        <v>0</v>
      </c>
    </row>
    <row r="63" spans="4:20" ht="12.75">
      <c r="D63" s="5">
        <f t="shared" si="2"/>
        <v>344.32426932522986</v>
      </c>
      <c r="E63" s="6">
        <f t="shared" si="0"/>
        <v>0.02144047103257177</v>
      </c>
      <c r="J63" s="5">
        <f t="shared" si="3"/>
        <v>556.1466717424963</v>
      </c>
      <c r="K63" s="6">
        <f t="shared" si="1"/>
        <v>0.013274330131561441</v>
      </c>
      <c r="M63" s="5" t="e">
        <f t="shared" si="4"/>
        <v>#NAME?</v>
      </c>
      <c r="N63" s="6">
        <v>0</v>
      </c>
      <c r="P63" s="5">
        <f t="shared" si="5"/>
        <v>148.81746090218294</v>
      </c>
      <c r="Q63" s="6">
        <f>IF(nature="bi",GAMMADIST(P63*(n-1)/var1,(n-1)/2,2,0)*var0/var1,0)</f>
        <v>0.011280351012581638</v>
      </c>
      <c r="S63" s="5">
        <f t="shared" si="6"/>
        <v>225</v>
      </c>
      <c r="T63" s="6">
        <f>IF(nature="bi",0,GAMMADIST(S63*(n-1)/var1,(n-1)/2,2,0)*var0/var1)</f>
        <v>0</v>
      </c>
    </row>
    <row r="64" spans="4:20" ht="12.75">
      <c r="D64" s="5">
        <f t="shared" si="2"/>
        <v>368.18912319027584</v>
      </c>
      <c r="E64" s="6">
        <f t="shared" si="0"/>
        <v>0.014959833445977753</v>
      </c>
      <c r="J64" s="5">
        <f t="shared" si="3"/>
        <v>594.6927756075423</v>
      </c>
      <c r="K64" s="6">
        <f t="shared" si="1"/>
        <v>0.009262005838090198</v>
      </c>
      <c r="M64" s="5" t="e">
        <f t="shared" si="4"/>
        <v>#NAME?</v>
      </c>
      <c r="N64" s="6">
        <f>IF(nature="bi",0,NORMDIST(M64,mu0,etxbarre,0))</f>
        <v>0</v>
      </c>
      <c r="P64" s="5">
        <f t="shared" si="5"/>
        <v>162.11860734084632</v>
      </c>
      <c r="Q64" s="6">
        <f>0</f>
        <v>0</v>
      </c>
      <c r="S64" s="5">
        <f t="shared" si="6"/>
        <v>225</v>
      </c>
      <c r="T64" s="6">
        <f>0</f>
        <v>0</v>
      </c>
    </row>
    <row r="65" spans="4:20" ht="12.75">
      <c r="D65" s="5">
        <f t="shared" si="2"/>
        <v>392.0539770553218</v>
      </c>
      <c r="E65" s="6">
        <f t="shared" si="0"/>
        <v>0.010156276654154783</v>
      </c>
      <c r="J65" s="5">
        <f t="shared" si="3"/>
        <v>633.2388794725883</v>
      </c>
      <c r="K65" s="6">
        <f t="shared" si="1"/>
        <v>0.006288004074626424</v>
      </c>
      <c r="M65" s="5" t="e">
        <f t="shared" si="4"/>
        <v>#NAME?</v>
      </c>
      <c r="N65" s="6">
        <v>0</v>
      </c>
      <c r="P65" s="5">
        <f t="shared" si="5"/>
        <v>162.11860734084632</v>
      </c>
      <c r="Q65" s="6">
        <f>IF(nature="bi",GAMMADIST(P65*(n-1)/var1,(n-1)/2,2,0)*var0/var1,0)</f>
        <v>0.01495447172923296</v>
      </c>
      <c r="S65" s="5">
        <f t="shared" si="6"/>
        <v>225</v>
      </c>
      <c r="T65" s="6">
        <f>IF(nature="bi",0,GAMMADIST(S65*(n-1)/var1,(n-1)/2,2,0)*var0/var1)</f>
        <v>0</v>
      </c>
    </row>
    <row r="66" spans="4:20" ht="12.75">
      <c r="D66" s="5">
        <f t="shared" si="2"/>
        <v>415.9188309203678</v>
      </c>
      <c r="E66" s="6">
        <f t="shared" si="0"/>
        <v>0.006730743758592825</v>
      </c>
      <c r="J66" s="5">
        <f t="shared" si="3"/>
        <v>671.7849833376343</v>
      </c>
      <c r="K66" s="6">
        <f t="shared" si="1"/>
        <v>0.004167171259753383</v>
      </c>
      <c r="M66" s="5" t="e">
        <f t="shared" si="4"/>
        <v>#NAME?</v>
      </c>
      <c r="N66" s="6">
        <f>IF(nature="bi",0,NORMDIST(M66,mu0,etxbarre,0))</f>
        <v>0</v>
      </c>
      <c r="P66" s="5">
        <f t="shared" si="5"/>
        <v>175.4197537795097</v>
      </c>
      <c r="Q66" s="6">
        <f>0</f>
        <v>0</v>
      </c>
      <c r="S66" s="5">
        <f t="shared" si="6"/>
        <v>225</v>
      </c>
      <c r="T66" s="6">
        <f>0</f>
        <v>0</v>
      </c>
    </row>
    <row r="67" spans="4:20" ht="13.5" thickBot="1">
      <c r="D67" s="5">
        <f t="shared" si="2"/>
        <v>439.78368478541375</v>
      </c>
      <c r="E67" s="6">
        <f t="shared" si="0"/>
        <v>0.004365986189945791</v>
      </c>
      <c r="J67" s="5">
        <f t="shared" si="3"/>
        <v>710.3310872026804</v>
      </c>
      <c r="K67" s="6">
        <f t="shared" si="1"/>
        <v>0.0027030908951176445</v>
      </c>
      <c r="M67" s="7" t="e">
        <f t="shared" si="4"/>
        <v>#NAME?</v>
      </c>
      <c r="N67" s="8">
        <v>0</v>
      </c>
      <c r="P67" s="5">
        <f t="shared" si="5"/>
        <v>175.4197537795097</v>
      </c>
      <c r="Q67" s="6">
        <f>IF(nature="bi",GAMMADIST(P67*(n-1)/var1,(n-1)/2,2,0)*var0/var1,0)</f>
        <v>0.018973734564673213</v>
      </c>
      <c r="S67" s="5">
        <f t="shared" si="6"/>
        <v>225</v>
      </c>
      <c r="T67" s="6">
        <f>IF(nature="bi",0,GAMMADIST(S67*(n-1)/var1,(n-1)/2,2,0)*var0/var1)</f>
        <v>0</v>
      </c>
    </row>
    <row r="68" spans="4:20" ht="13.5" thickBot="1">
      <c r="D68" s="5">
        <f t="shared" si="2"/>
        <v>463.6485386504597</v>
      </c>
      <c r="E68" s="6">
        <f t="shared" si="0"/>
        <v>0.0027782849915711574</v>
      </c>
      <c r="J68" s="5">
        <f t="shared" si="3"/>
        <v>748.8771910677264</v>
      </c>
      <c r="K68" s="6">
        <f t="shared" si="1"/>
        <v>0.001720105501490659</v>
      </c>
      <c r="P68" s="5">
        <f t="shared" si="5"/>
        <v>188.72090021817309</v>
      </c>
      <c r="Q68" s="6">
        <f>0</f>
        <v>0</v>
      </c>
      <c r="S68" s="5">
        <f t="shared" si="6"/>
        <v>225</v>
      </c>
      <c r="T68" s="6">
        <f>0</f>
        <v>0</v>
      </c>
    </row>
    <row r="69" spans="4:20" ht="12.75">
      <c r="D69" s="5">
        <f t="shared" si="2"/>
        <v>487.5133925155057</v>
      </c>
      <c r="E69" s="6">
        <f t="shared" si="0"/>
        <v>0.0017377304385002316</v>
      </c>
      <c r="J69" s="5">
        <f t="shared" si="3"/>
        <v>787.4232949327724</v>
      </c>
      <c r="K69" s="6">
        <f t="shared" si="1"/>
        <v>0.0010758722364481656</v>
      </c>
      <c r="M69" s="3" t="s">
        <v>16</v>
      </c>
      <c r="N69" s="4"/>
      <c r="P69" s="5">
        <f t="shared" si="5"/>
        <v>188.72090021817309</v>
      </c>
      <c r="Q69" s="6">
        <f>IF(nature="bi",GAMMADIST(P69*(n-1)/var1,(n-1)/2,2,0)*var0/var1,0)</f>
        <v>0.02318770241227319</v>
      </c>
      <c r="S69" s="5">
        <f t="shared" si="6"/>
        <v>225</v>
      </c>
      <c r="T69" s="6">
        <f>IF(nature="bi",0,GAMMADIST(S69*(n-1)/var1,(n-1)/2,2,0)*var0/var1)</f>
        <v>0</v>
      </c>
    </row>
    <row r="70" spans="4:20" ht="12.75">
      <c r="D70" s="5">
        <f t="shared" si="2"/>
        <v>511.3782463805517</v>
      </c>
      <c r="E70" s="6">
        <f t="shared" si="0"/>
        <v>0.0010700776807964652</v>
      </c>
      <c r="J70" s="5">
        <f t="shared" si="3"/>
        <v>825.9693987978184</v>
      </c>
      <c r="K70" s="6">
        <f t="shared" si="1"/>
        <v>0.0006625117694349472</v>
      </c>
      <c r="M70" s="5" t="s">
        <v>17</v>
      </c>
      <c r="N70" s="6" t="s">
        <v>22</v>
      </c>
      <c r="P70" s="5">
        <f t="shared" si="5"/>
        <v>202.02204665683647</v>
      </c>
      <c r="Q70" s="6">
        <f>0</f>
        <v>0</v>
      </c>
      <c r="S70" s="5">
        <f t="shared" si="6"/>
        <v>225</v>
      </c>
      <c r="T70" s="6">
        <f>0</f>
        <v>0</v>
      </c>
    </row>
    <row r="71" spans="4:20" ht="12.75">
      <c r="D71" s="5">
        <f t="shared" si="2"/>
        <v>535.2431002455977</v>
      </c>
      <c r="E71" s="6">
        <f t="shared" si="0"/>
        <v>0.0006496710926784388</v>
      </c>
      <c r="J71" s="5">
        <f t="shared" si="3"/>
        <v>864.5155026628644</v>
      </c>
      <c r="K71" s="6">
        <f t="shared" si="1"/>
        <v>0.00040222756990947417</v>
      </c>
      <c r="M71" s="5"/>
      <c r="N71" s="6"/>
      <c r="P71" s="5">
        <f t="shared" si="5"/>
        <v>202.02204665683647</v>
      </c>
      <c r="Q71" s="6">
        <f>IF(nature="bi",GAMMADIST(P71*(n-1)/var1,(n-1)/2,2,0)*var0/var1,0)</f>
        <v>0.02743499185560915</v>
      </c>
      <c r="S71" s="5">
        <f t="shared" si="6"/>
        <v>225</v>
      </c>
      <c r="T71" s="6">
        <f>IF(nature="bi",0,GAMMADIST(S71*(n-1)/var1,(n-1)/2,2,0)*var0/var1)</f>
        <v>0</v>
      </c>
    </row>
    <row r="72" spans="4:20" ht="12.75">
      <c r="D72" s="5">
        <f t="shared" si="2"/>
        <v>559.1079541106437</v>
      </c>
      <c r="E72" s="6">
        <f t="shared" si="0"/>
        <v>0.00038936261864680515</v>
      </c>
      <c r="J72" s="5">
        <f t="shared" si="3"/>
        <v>903.0616065279104</v>
      </c>
      <c r="K72" s="6">
        <f t="shared" si="1"/>
        <v>0.00024106410409337791</v>
      </c>
      <c r="M72" s="5" t="e">
        <f>IF(nature="bi",point_crit_1-etxbarre/10,mu0)</f>
        <v>#NAME?</v>
      </c>
      <c r="N72" s="6">
        <v>0</v>
      </c>
      <c r="P72" s="5">
        <f t="shared" si="5"/>
        <v>215.32319309549985</v>
      </c>
      <c r="Q72" s="6">
        <f>0</f>
        <v>0</v>
      </c>
      <c r="S72" s="5">
        <f t="shared" si="6"/>
        <v>225</v>
      </c>
      <c r="T72" s="6">
        <f>0</f>
        <v>0</v>
      </c>
    </row>
    <row r="73" spans="4:20" ht="12.75">
      <c r="D73" s="5">
        <f t="shared" si="2"/>
        <v>582.9728079756898</v>
      </c>
      <c r="E73" s="6">
        <f t="shared" si="0"/>
        <v>0.0002306041863051499</v>
      </c>
      <c r="J73" s="5">
        <f t="shared" si="3"/>
        <v>941.6077103929564</v>
      </c>
      <c r="K73" s="6">
        <f t="shared" si="1"/>
        <v>0.00014277280075070632</v>
      </c>
      <c r="M73" s="5" t="e">
        <f>IF(nature="bi",point_crit_1-etxbarre/10,mu0)</f>
        <v>#NAME?</v>
      </c>
      <c r="N73" s="6" t="e">
        <f>IF(nature="bi",NORMDIST(M73,mu0,etxbarre,0),0)</f>
        <v>#NAME?</v>
      </c>
      <c r="P73" s="5">
        <f t="shared" si="5"/>
        <v>215.32319309549985</v>
      </c>
      <c r="Q73" s="6">
        <f>IF(nature="bi",GAMMADIST(P73*(n-1)/var1,(n-1)/2,2,0)*var0/var1,0)</f>
        <v>0.031556458621778645</v>
      </c>
      <c r="S73" s="5">
        <f t="shared" si="6"/>
        <v>225</v>
      </c>
      <c r="T73" s="6">
        <f>IF(nature="bi",0,GAMMADIST(S73*(n-1)/var1,(n-1)/2,2,0)*var0/var1)</f>
        <v>0</v>
      </c>
    </row>
    <row r="74" spans="4:20" ht="12.75">
      <c r="D74" s="5">
        <f t="shared" si="2"/>
        <v>606.8376618407358</v>
      </c>
      <c r="E74" s="6">
        <f t="shared" si="0"/>
        <v>0.0001350969441850296</v>
      </c>
      <c r="J74" s="5">
        <f t="shared" si="3"/>
        <v>980.1538142580024</v>
      </c>
      <c r="K74" s="6">
        <f t="shared" si="1"/>
        <v>8.364188613920136E-05</v>
      </c>
      <c r="M74" s="5" t="e">
        <f aca="true" t="shared" si="7" ref="M74:M81">IF(nature="bi",M72-3*etxbarre/10,mu0)</f>
        <v>#NAME?</v>
      </c>
      <c r="N74" s="6">
        <v>0</v>
      </c>
      <c r="P74" s="5">
        <f t="shared" si="5"/>
        <v>228.62433953416323</v>
      </c>
      <c r="Q74" s="6">
        <f>0</f>
        <v>0</v>
      </c>
      <c r="S74" s="5">
        <f t="shared" si="6"/>
        <v>225</v>
      </c>
      <c r="T74" s="6">
        <f>0</f>
        <v>0</v>
      </c>
    </row>
    <row r="75" spans="4:20" ht="12.75">
      <c r="D75" s="5">
        <f t="shared" si="2"/>
        <v>630.7025157057818</v>
      </c>
      <c r="E75" s="6">
        <f t="shared" si="0"/>
        <v>7.835281804390774E-05</v>
      </c>
      <c r="J75" s="5">
        <f t="shared" si="3"/>
        <v>1018.6999181230484</v>
      </c>
      <c r="K75" s="6">
        <f t="shared" si="1"/>
        <v>4.8510183002646404E-05</v>
      </c>
      <c r="M75" s="5" t="e">
        <f t="shared" si="7"/>
        <v>#NAME?</v>
      </c>
      <c r="N75" s="6" t="e">
        <f>IF(nature="bi",NORMDIST(M75,mu0,etxbarre,0),0)</f>
        <v>#NAME?</v>
      </c>
      <c r="P75" s="5">
        <f t="shared" si="5"/>
        <v>228.62433953416323</v>
      </c>
      <c r="Q75" s="6">
        <f>IF(nature="bi",GAMMADIST(P75*(n-1)/var1,(n-1)/2,2,0)*var0/var1,0)</f>
        <v>0.035406184765213004</v>
      </c>
      <c r="S75" s="5">
        <f t="shared" si="6"/>
        <v>225</v>
      </c>
      <c r="T75" s="6">
        <f>IF(nature="bi",0,GAMMADIST(S75*(n-1)/var1,(n-1)/2,2,0)*var0/var1)</f>
        <v>0</v>
      </c>
    </row>
    <row r="76" spans="4:20" ht="12.75">
      <c r="D76" s="5">
        <f t="shared" si="2"/>
        <v>654.5673695708279</v>
      </c>
      <c r="E76" s="6">
        <f t="shared" si="0"/>
        <v>4.502141093096614E-05</v>
      </c>
      <c r="J76" s="5">
        <f t="shared" si="3"/>
        <v>1057.2460219880943</v>
      </c>
      <c r="K76" s="6">
        <f t="shared" si="1"/>
        <v>2.7873877900277192E-05</v>
      </c>
      <c r="M76" s="5" t="e">
        <f t="shared" si="7"/>
        <v>#NAME?</v>
      </c>
      <c r="N76" s="6">
        <v>0</v>
      </c>
      <c r="P76" s="5">
        <f t="shared" si="5"/>
        <v>241.9254859728266</v>
      </c>
      <c r="Q76" s="6">
        <f>0</f>
        <v>0</v>
      </c>
      <c r="S76" s="5">
        <f t="shared" si="6"/>
        <v>225</v>
      </c>
      <c r="T76" s="6">
        <f>0</f>
        <v>0</v>
      </c>
    </row>
    <row r="77" spans="4:20" ht="12.75">
      <c r="D77" s="5">
        <f t="shared" si="2"/>
        <v>678.4322234358739</v>
      </c>
      <c r="E77" s="6">
        <f t="shared" si="0"/>
        <v>2.5646535609594506E-05</v>
      </c>
      <c r="J77" s="5">
        <f t="shared" si="3"/>
        <v>1095.7921258531403</v>
      </c>
      <c r="K77" s="6">
        <f t="shared" si="1"/>
        <v>1.5878409569240206E-05</v>
      </c>
      <c r="M77" s="5" t="e">
        <f t="shared" si="7"/>
        <v>#NAME?</v>
      </c>
      <c r="N77" s="6" t="e">
        <f>IF(nature="bi",NORMDIST(M77,mu0,etxbarre,0),0)</f>
        <v>#NAME?</v>
      </c>
      <c r="P77" s="5">
        <f t="shared" si="5"/>
        <v>241.9254859728266</v>
      </c>
      <c r="Q77" s="6">
        <f>IF(nature="bi",GAMMADIST(P77*(n-1)/var1,(n-1)/2,2,0)*var0/var1,0)</f>
        <v>0.03885964167902823</v>
      </c>
      <c r="S77" s="5">
        <f t="shared" si="6"/>
        <v>225</v>
      </c>
      <c r="T77" s="6">
        <f>IF(nature="bi",0,GAMMADIST(S77*(n-1)/var1,(n-1)/2,2,0)*var0/var1)</f>
        <v>0</v>
      </c>
    </row>
    <row r="78" spans="4:20" ht="12.75">
      <c r="D78" s="5">
        <f t="shared" si="2"/>
        <v>702.2970773009199</v>
      </c>
      <c r="E78" s="6">
        <f t="shared" si="0"/>
        <v>1.4492493755976585E-05</v>
      </c>
      <c r="J78" s="5">
        <f t="shared" si="3"/>
        <v>1134.3382297181863</v>
      </c>
      <c r="K78" s="6">
        <f t="shared" si="1"/>
        <v>8.972664185137126E-06</v>
      </c>
      <c r="M78" s="5" t="e">
        <f t="shared" si="7"/>
        <v>#NAME?</v>
      </c>
      <c r="N78" s="6">
        <v>0</v>
      </c>
      <c r="P78" s="5">
        <f t="shared" si="5"/>
        <v>255.22663241149</v>
      </c>
      <c r="Q78" s="6">
        <f>0</f>
        <v>0</v>
      </c>
      <c r="S78" s="5">
        <f t="shared" si="6"/>
        <v>225</v>
      </c>
      <c r="T78" s="6">
        <f>0</f>
        <v>0</v>
      </c>
    </row>
    <row r="79" spans="4:20" ht="12.75">
      <c r="D79" s="5">
        <f t="shared" si="2"/>
        <v>726.1619311659659</v>
      </c>
      <c r="E79" s="6">
        <f t="shared" si="0"/>
        <v>8.128229987518426E-06</v>
      </c>
      <c r="J79" s="5">
        <f t="shared" si="3"/>
        <v>1172.8843335832323</v>
      </c>
      <c r="K79" s="6">
        <f t="shared" si="1"/>
        <v>5.032389823696676E-06</v>
      </c>
      <c r="M79" s="5" t="e">
        <f t="shared" si="7"/>
        <v>#NAME?</v>
      </c>
      <c r="N79" s="6" t="e">
        <f>IF(nature="bi",NORMDIST(M79,mu0,etxbarre,0),0)</f>
        <v>#NAME?</v>
      </c>
      <c r="P79" s="5">
        <f t="shared" si="5"/>
        <v>255.22663241149</v>
      </c>
      <c r="Q79" s="6">
        <f>IF(nature="bi",GAMMADIST(P79*(n-1)/var1,(n-1)/2,2,0)*var0/var1,0)</f>
        <v>0.04181887216869443</v>
      </c>
      <c r="S79" s="5">
        <f t="shared" si="6"/>
        <v>225</v>
      </c>
      <c r="T79" s="6">
        <f>IF(nature="bi",0,GAMMADIST(S79*(n-1)/var1,(n-1)/2,2,0)*var0/var1)</f>
        <v>0</v>
      </c>
    </row>
    <row r="80" spans="4:20" ht="12.75">
      <c r="D80" s="5">
        <f t="shared" si="2"/>
        <v>750.026785031012</v>
      </c>
      <c r="E80" s="6">
        <f aca="true" t="shared" si="8" ref="E80:E96">IF(D80&lt;0,0,GAMMADIST(D80*(n-1)/var0,(n-1)/2,2,0))</f>
        <v>4.526872487310779E-06</v>
      </c>
      <c r="J80" s="5">
        <f t="shared" si="3"/>
        <v>1211.4304374482783</v>
      </c>
      <c r="K80" s="6">
        <f t="shared" si="1"/>
        <v>2.802699612744399E-06</v>
      </c>
      <c r="M80" s="5" t="e">
        <f t="shared" si="7"/>
        <v>#NAME?</v>
      </c>
      <c r="N80" s="6">
        <v>0</v>
      </c>
      <c r="P80" s="5">
        <f t="shared" si="5"/>
        <v>268.52777885015337</v>
      </c>
      <c r="Q80" s="6">
        <f>0</f>
        <v>0</v>
      </c>
      <c r="S80" s="5">
        <f t="shared" si="6"/>
        <v>225</v>
      </c>
      <c r="T80" s="6">
        <f>0</f>
        <v>0</v>
      </c>
    </row>
    <row r="81" spans="4:20" ht="12.75">
      <c r="D81" s="5">
        <f t="shared" si="2"/>
        <v>773.891638896058</v>
      </c>
      <c r="E81" s="6">
        <f t="shared" si="8"/>
        <v>2.5046156814541254E-06</v>
      </c>
      <c r="J81" s="5">
        <f t="shared" si="3"/>
        <v>1249.9765413133243</v>
      </c>
      <c r="K81" s="6">
        <f t="shared" si="1"/>
        <v>1.550670008965747E-06</v>
      </c>
      <c r="M81" s="5" t="e">
        <f t="shared" si="7"/>
        <v>#NAME?</v>
      </c>
      <c r="N81" s="6" t="e">
        <f>IF(nature="bi",NORMDIST(M81,mu0,etxbarre,0),0)</f>
        <v>#NAME?</v>
      </c>
      <c r="P81" s="5">
        <f t="shared" si="5"/>
        <v>268.52777885015337</v>
      </c>
      <c r="Q81" s="6">
        <f>IF(nature="bi",GAMMADIST(P81*(n-1)/var1,(n-1)/2,2,0)*var0/var1,0)</f>
        <v>0.044214878749489275</v>
      </c>
      <c r="S81" s="5">
        <f t="shared" si="6"/>
        <v>225</v>
      </c>
      <c r="T81" s="6">
        <f>IF(nature="bi",0,GAMMADIST(S81*(n-1)/var1,(n-1)/2,2,0)*var0/var1)</f>
        <v>0</v>
      </c>
    </row>
    <row r="82" spans="4:20" ht="12.75">
      <c r="D82" s="5">
        <f t="shared" si="2"/>
        <v>797.756492761104</v>
      </c>
      <c r="E82" s="6">
        <f t="shared" si="8"/>
        <v>1.3772037753282475E-06</v>
      </c>
      <c r="J82" s="5">
        <f t="shared" si="3"/>
        <v>1288.5226451783703</v>
      </c>
      <c r="K82" s="6">
        <f t="shared" si="1"/>
        <v>8.526611912754859E-07</v>
      </c>
      <c r="M82" s="5" t="e">
        <f>IF(nature="bi",point_crit_2+etxbarre/10,mu0)</f>
        <v>#NAME?</v>
      </c>
      <c r="N82" s="6">
        <v>0</v>
      </c>
      <c r="P82" s="5">
        <f t="shared" si="5"/>
        <v>281.8289252888168</v>
      </c>
      <c r="Q82" s="6">
        <f>0</f>
        <v>0</v>
      </c>
      <c r="S82" s="5">
        <f t="shared" si="6"/>
        <v>225</v>
      </c>
      <c r="T82" s="6">
        <f>0</f>
        <v>0</v>
      </c>
    </row>
    <row r="83" spans="4:20" ht="12.75">
      <c r="D83" s="5">
        <f t="shared" si="2"/>
        <v>821.6213466261501</v>
      </c>
      <c r="E83" s="6">
        <f t="shared" si="8"/>
        <v>7.52883783932882E-07</v>
      </c>
      <c r="J83" s="5">
        <f t="shared" si="3"/>
        <v>1327.0687490434163</v>
      </c>
      <c r="K83" s="6">
        <f t="shared" si="1"/>
        <v>4.661291201784579E-07</v>
      </c>
      <c r="M83" s="5" t="e">
        <f>IF(nature="bi",point_crit_2+etxbarre/10,mu0)</f>
        <v>#NAME?</v>
      </c>
      <c r="N83" s="6" t="e">
        <f>IF(nature="bi",NORMDIST(M83,mu0,etxbarre,0),0)</f>
        <v>#NAME?</v>
      </c>
      <c r="P83" s="5">
        <f t="shared" si="5"/>
        <v>281.8289252888168</v>
      </c>
      <c r="Q83" s="6">
        <f>IF(nature="bi",GAMMADIST(P83*(n-1)/var1,(n-1)/2,2,0)*var0/var1,0)</f>
        <v>0.04600762474827787</v>
      </c>
      <c r="S83" s="5">
        <f t="shared" si="6"/>
        <v>225</v>
      </c>
      <c r="T83" s="6">
        <f>IF(nature="bi",0,GAMMADIST(S83*(n-1)/var1,(n-1)/2,2,0)*var0/var1)</f>
        <v>0</v>
      </c>
    </row>
    <row r="84" spans="4:20" ht="12.75">
      <c r="D84" s="5">
        <f t="shared" si="2"/>
        <v>845.4862004911961</v>
      </c>
      <c r="E84" s="6">
        <f t="shared" si="8"/>
        <v>4.093313993664747E-07</v>
      </c>
      <c r="J84" s="5">
        <f t="shared" si="3"/>
        <v>1365.6148529084624</v>
      </c>
      <c r="K84" s="6">
        <f t="shared" si="1"/>
        <v>2.534272740626877E-07</v>
      </c>
      <c r="M84" s="5" t="e">
        <f aca="true" t="shared" si="9" ref="M84:M91">IF(nature="bi",M82+3*etxbarre/10,mu0)</f>
        <v>#NAME?</v>
      </c>
      <c r="N84" s="6">
        <v>0</v>
      </c>
      <c r="P84" s="5">
        <f t="shared" si="5"/>
        <v>295.1300717274802</v>
      </c>
      <c r="Q84" s="6">
        <f>0</f>
        <v>0</v>
      </c>
      <c r="S84" s="5">
        <f t="shared" si="6"/>
        <v>225</v>
      </c>
      <c r="T84" s="6">
        <f>0</f>
        <v>0</v>
      </c>
    </row>
    <row r="85" spans="4:20" ht="12.75">
      <c r="D85" s="5">
        <f t="shared" si="2"/>
        <v>869.3510543562421</v>
      </c>
      <c r="E85" s="6">
        <f t="shared" si="8"/>
        <v>2.213972463084412E-07</v>
      </c>
      <c r="J85" s="5">
        <f t="shared" si="3"/>
        <v>1404.1609567735084</v>
      </c>
      <c r="K85" s="6">
        <f t="shared" si="1"/>
        <v>1.3707255466786088E-07</v>
      </c>
      <c r="M85" s="5" t="e">
        <f t="shared" si="9"/>
        <v>#NAME?</v>
      </c>
      <c r="N85" s="6" t="e">
        <f>IF(nature="bi",NORMDIST(M85,mu0,etxbarre,0),0)</f>
        <v>#NAME?</v>
      </c>
      <c r="P85" s="5">
        <f t="shared" si="5"/>
        <v>295.1300717274802</v>
      </c>
      <c r="Q85" s="6">
        <f>IF(nature="bi",GAMMADIST(P85*(n-1)/var1,(n-1)/2,2,0)*var0/var1,0)</f>
        <v>0.04718416637359632</v>
      </c>
      <c r="S85" s="5">
        <f t="shared" si="6"/>
        <v>225</v>
      </c>
      <c r="T85" s="6">
        <f>IF(nature="bi",0,GAMMADIST(S85*(n-1)/var1,(n-1)/2,2,0)*var0/var1)</f>
        <v>0</v>
      </c>
    </row>
    <row r="86" spans="4:20" ht="12.75">
      <c r="D86" s="5">
        <f t="shared" si="2"/>
        <v>893.2159082212881</v>
      </c>
      <c r="E86" s="6">
        <f t="shared" si="8"/>
        <v>1.1916296115581515E-07</v>
      </c>
      <c r="J86" s="5">
        <f t="shared" si="3"/>
        <v>1442.7070606385544</v>
      </c>
      <c r="K86" s="6">
        <f t="shared" si="1"/>
        <v>7.377676000838347E-08</v>
      </c>
      <c r="M86" s="5" t="e">
        <f t="shared" si="9"/>
        <v>#NAME?</v>
      </c>
      <c r="N86" s="6">
        <v>0</v>
      </c>
      <c r="P86" s="5">
        <f t="shared" si="5"/>
        <v>308.4312181661436</v>
      </c>
      <c r="Q86" s="6">
        <f>0</f>
        <v>0</v>
      </c>
      <c r="S86" s="5">
        <f t="shared" si="6"/>
        <v>225</v>
      </c>
      <c r="T86" s="6">
        <f>0</f>
        <v>0</v>
      </c>
    </row>
    <row r="87" spans="4:20" ht="12.75">
      <c r="D87" s="5">
        <f t="shared" si="2"/>
        <v>917.0807620863342</v>
      </c>
      <c r="E87" s="6">
        <f t="shared" si="8"/>
        <v>6.384024020271773E-08</v>
      </c>
      <c r="J87" s="5">
        <f t="shared" si="3"/>
        <v>1481.2531645036004</v>
      </c>
      <c r="K87" s="6">
        <f t="shared" si="1"/>
        <v>3.9525084259653905E-08</v>
      </c>
      <c r="M87" s="5" t="e">
        <f t="shared" si="9"/>
        <v>#NAME?</v>
      </c>
      <c r="N87" s="6" t="e">
        <f>IF(nature="bi",NORMDIST(M87,mu0,etxbarre,0),0)</f>
        <v>#NAME?</v>
      </c>
      <c r="P87" s="5">
        <f t="shared" si="5"/>
        <v>308.4312181661436</v>
      </c>
      <c r="Q87" s="6">
        <f>IF(nature="bi",GAMMADIST(P87*(n-1)/var1,(n-1)/2,2,0)*var0/var1,0)</f>
        <v>0.04775546142500277</v>
      </c>
      <c r="S87" s="5">
        <f t="shared" si="6"/>
        <v>225</v>
      </c>
      <c r="T87" s="6">
        <f>IF(nature="bi",0,GAMMADIST(S87*(n-1)/var1,(n-1)/2,2,0)*var0/var1)</f>
        <v>0</v>
      </c>
    </row>
    <row r="88" spans="4:20" ht="12.75">
      <c r="D88" s="5">
        <f t="shared" si="2"/>
        <v>940.9456159513802</v>
      </c>
      <c r="E88" s="6">
        <f t="shared" si="8"/>
        <v>3.405143958114153E-08</v>
      </c>
      <c r="J88" s="5">
        <f t="shared" si="3"/>
        <v>1519.7992683686464</v>
      </c>
      <c r="K88" s="6">
        <f t="shared" si="1"/>
        <v>2.108209515398789E-08</v>
      </c>
      <c r="M88" s="5" t="e">
        <f t="shared" si="9"/>
        <v>#NAME?</v>
      </c>
      <c r="N88" s="6">
        <v>0</v>
      </c>
      <c r="P88" s="5">
        <f t="shared" si="5"/>
        <v>321.732364604807</v>
      </c>
      <c r="Q88" s="6">
        <f>0</f>
        <v>0</v>
      </c>
      <c r="S88" s="5">
        <f t="shared" si="6"/>
        <v>225</v>
      </c>
      <c r="T88" s="6">
        <f>0</f>
        <v>0</v>
      </c>
    </row>
    <row r="89" spans="4:20" ht="12.75">
      <c r="D89" s="5">
        <f t="shared" si="2"/>
        <v>964.8104698164262</v>
      </c>
      <c r="E89" s="6">
        <f t="shared" si="8"/>
        <v>1.8086726926379914E-08</v>
      </c>
      <c r="M89" s="5" t="e">
        <f t="shared" si="9"/>
        <v>#NAME?</v>
      </c>
      <c r="N89" s="6" t="e">
        <f>IF(nature="bi",NORMDIST(M89,mu0,etxbarre,0),0)</f>
        <v>#NAME?</v>
      </c>
      <c r="P89" s="5">
        <f t="shared" si="5"/>
        <v>321.732364604807</v>
      </c>
      <c r="Q89" s="6">
        <f>IF(nature="bi",GAMMADIST(P89*(n-1)/var1,(n-1)/2,2,0)*var0/var1,0)</f>
        <v>0.047752368639439206</v>
      </c>
      <c r="S89" s="5">
        <f t="shared" si="6"/>
        <v>225</v>
      </c>
      <c r="T89" s="6">
        <f>IF(nature="bi",0,GAMMADIST(S89*(n-1)/var1,(n-1)/2,2,0)*var0/var1)</f>
        <v>0</v>
      </c>
    </row>
    <row r="90" spans="4:20" ht="12.75">
      <c r="D90" s="5">
        <f t="shared" si="2"/>
        <v>988.6753236814723</v>
      </c>
      <c r="E90" s="6">
        <f t="shared" si="8"/>
        <v>9.568785140947525E-09</v>
      </c>
      <c r="M90" s="5" t="e">
        <f t="shared" si="9"/>
        <v>#NAME?</v>
      </c>
      <c r="N90" s="6">
        <v>0</v>
      </c>
      <c r="P90" s="5">
        <f t="shared" si="5"/>
        <v>335.0335110434704</v>
      </c>
      <c r="Q90" s="6">
        <f>0</f>
        <v>0</v>
      </c>
      <c r="S90" s="5">
        <f t="shared" si="6"/>
        <v>225</v>
      </c>
      <c r="T90" s="6">
        <f>0</f>
        <v>0</v>
      </c>
    </row>
    <row r="91" spans="4:20" ht="13.5" thickBot="1">
      <c r="D91" s="5">
        <f t="shared" si="2"/>
        <v>1012.5401775465183</v>
      </c>
      <c r="E91" s="6">
        <f t="shared" si="8"/>
        <v>5.043225238312836E-09</v>
      </c>
      <c r="M91" s="7" t="e">
        <f t="shared" si="9"/>
        <v>#NAME?</v>
      </c>
      <c r="N91" s="8" t="e">
        <f>IF(nature="bi",NORMDIST(M91,mu0,etxbarre,0),0)</f>
        <v>#NAME?</v>
      </c>
      <c r="P91" s="5">
        <f t="shared" si="5"/>
        <v>335.0335110434704</v>
      </c>
      <c r="Q91" s="6">
        <f>IF(nature="bi",GAMMADIST(P91*(n-1)/var1,(n-1)/2,2,0)*var0/var1,0)</f>
        <v>0.047221283328131705</v>
      </c>
      <c r="S91" s="5">
        <f t="shared" si="6"/>
        <v>225</v>
      </c>
      <c r="T91" s="6">
        <f>IF(nature="bi",0,GAMMADIST(S91*(n-1)/var1,(n-1)/2,2,0)*var0/var1)</f>
        <v>0</v>
      </c>
    </row>
    <row r="92" spans="4:20" ht="12.75">
      <c r="D92" s="5">
        <f t="shared" si="2"/>
        <v>1036.4050314115643</v>
      </c>
      <c r="E92" s="6">
        <f t="shared" si="8"/>
        <v>2.6484472651255367E-09</v>
      </c>
      <c r="P92" s="5">
        <f t="shared" si="5"/>
        <v>348.3346574821338</v>
      </c>
      <c r="Q92" s="6">
        <f>0</f>
        <v>0</v>
      </c>
      <c r="S92" s="5">
        <f t="shared" si="6"/>
        <v>225</v>
      </c>
      <c r="T92" s="6">
        <f>0</f>
        <v>0</v>
      </c>
    </row>
    <row r="93" spans="4:20" ht="12.75">
      <c r="D93" s="5">
        <f t="shared" si="2"/>
        <v>1060.2698852766102</v>
      </c>
      <c r="E93" s="6">
        <f t="shared" si="8"/>
        <v>1.3860443408693066E-09</v>
      </c>
      <c r="P93" s="5">
        <f t="shared" si="5"/>
        <v>348.3346574821338</v>
      </c>
      <c r="Q93" s="6">
        <f>IF(nature="bi",GAMMADIST(P93*(n-1)/var1,(n-1)/2,2,0)*var0/var1,0)</f>
        <v>0.04621976834498475</v>
      </c>
      <c r="S93" s="5">
        <f t="shared" si="6"/>
        <v>225</v>
      </c>
      <c r="T93" s="6">
        <f>IF(nature="bi",0,GAMMADIST(S93*(n-1)/var1,(n-1)/2,2,0)*var0/var1)</f>
        <v>0</v>
      </c>
    </row>
    <row r="94" spans="4:20" ht="12.75">
      <c r="D94" s="5">
        <f t="shared" si="2"/>
        <v>1084.1347391416562</v>
      </c>
      <c r="E94" s="6">
        <f t="shared" si="8"/>
        <v>7.229901876790818E-10</v>
      </c>
      <c r="P94" s="5">
        <f t="shared" si="5"/>
        <v>361.63580392079723</v>
      </c>
      <c r="Q94" s="6">
        <f>0</f>
        <v>0</v>
      </c>
      <c r="S94" s="5">
        <f t="shared" si="6"/>
        <v>225</v>
      </c>
      <c r="T94" s="6">
        <f>0</f>
        <v>0</v>
      </c>
    </row>
    <row r="95" spans="4:20" ht="12.75">
      <c r="D95" s="5">
        <f t="shared" si="2"/>
        <v>1107.999593006702</v>
      </c>
      <c r="E95" s="6">
        <f t="shared" si="8"/>
        <v>3.759408063254396E-10</v>
      </c>
      <c r="P95" s="5">
        <f t="shared" si="5"/>
        <v>361.63580392079723</v>
      </c>
      <c r="Q95" s="6">
        <f>IF(nature="bi",GAMMADIST(P95*(n-1)/var1,(n-1)/2,2,0)*var0/var1,0)</f>
        <v>0.04481244834600265</v>
      </c>
      <c r="S95" s="5">
        <f t="shared" si="6"/>
        <v>225</v>
      </c>
      <c r="T95" s="6">
        <f>IF(nature="bi",0,GAMMADIST(S95*(n-1)/var1,(n-1)/2,2,0)*var0/var1)</f>
        <v>0</v>
      </c>
    </row>
    <row r="96" spans="4:5" ht="12.75">
      <c r="D96" s="5">
        <f t="shared" si="2"/>
        <v>1131.864446871748</v>
      </c>
      <c r="E96" s="6">
        <f t="shared" si="8"/>
        <v>1.9489317829739862E-10</v>
      </c>
    </row>
    <row r="97" spans="3:6" ht="12.75">
      <c r="C97" s="71"/>
      <c r="D97" s="71"/>
      <c r="E97" s="71"/>
      <c r="F97" s="71"/>
    </row>
    <row r="98" spans="3:6" ht="12.75">
      <c r="C98" s="71"/>
      <c r="D98" s="71"/>
      <c r="E98" s="71"/>
      <c r="F98" s="71"/>
    </row>
    <row r="99" spans="3:6" ht="12.75">
      <c r="C99" s="71"/>
      <c r="D99" s="71"/>
      <c r="E99" s="71"/>
      <c r="F99" s="71"/>
    </row>
    <row r="100" spans="3:6" ht="12.75">
      <c r="C100" s="71"/>
      <c r="D100" s="71"/>
      <c r="E100" s="71"/>
      <c r="F100" s="71"/>
    </row>
    <row r="101" spans="3:6" ht="12.75">
      <c r="C101" s="71"/>
      <c r="D101" s="71"/>
      <c r="E101" s="71"/>
      <c r="F101" s="71"/>
    </row>
    <row r="102" spans="3:6" ht="12.75">
      <c r="C102" s="71"/>
      <c r="D102" s="71"/>
      <c r="E102" s="71"/>
      <c r="F102" s="71"/>
    </row>
    <row r="103" spans="3:6" ht="12.75">
      <c r="C103" s="71"/>
      <c r="D103" s="71"/>
      <c r="E103" s="71"/>
      <c r="F103" s="71"/>
    </row>
    <row r="104" spans="3:6" ht="12.75">
      <c r="C104" s="71"/>
      <c r="D104" s="71"/>
      <c r="E104" s="71"/>
      <c r="F104" s="71"/>
    </row>
    <row r="105" spans="3:6" ht="12.75">
      <c r="C105" s="71"/>
      <c r="D105" s="71"/>
      <c r="E105" s="71"/>
      <c r="F105" s="71"/>
    </row>
    <row r="106" spans="3:6" ht="12.75">
      <c r="C106" s="71"/>
      <c r="D106" s="71"/>
      <c r="E106" s="71"/>
      <c r="F106" s="71"/>
    </row>
    <row r="107" spans="3:6" ht="12.75">
      <c r="C107" s="71"/>
      <c r="D107" s="71"/>
      <c r="E107" s="71"/>
      <c r="F107" s="71"/>
    </row>
    <row r="108" spans="3:6" ht="12.75">
      <c r="C108" s="71"/>
      <c r="D108" s="71"/>
      <c r="E108" s="71"/>
      <c r="F108" s="71"/>
    </row>
    <row r="109" spans="3:6" ht="12.75">
      <c r="C109" s="71"/>
      <c r="D109" s="71"/>
      <c r="E109" s="71"/>
      <c r="F109" s="71"/>
    </row>
    <row r="110" spans="3:6" ht="12.75">
      <c r="C110" s="71"/>
      <c r="D110" s="71"/>
      <c r="E110" s="71"/>
      <c r="F110" s="71"/>
    </row>
    <row r="111" spans="3:6" ht="12.75">
      <c r="C111" s="71"/>
      <c r="D111" s="71"/>
      <c r="E111" s="71"/>
      <c r="F111" s="71"/>
    </row>
    <row r="112" spans="3:6" ht="12.75">
      <c r="C112" s="71"/>
      <c r="D112" s="71"/>
      <c r="E112" s="71"/>
      <c r="F112" s="71"/>
    </row>
    <row r="113" spans="3:6" ht="12.75">
      <c r="C113" s="71"/>
      <c r="D113" s="71"/>
      <c r="E113" s="71"/>
      <c r="F113" s="71"/>
    </row>
    <row r="114" spans="3:6" ht="12.75">
      <c r="C114" s="71"/>
      <c r="D114" s="71"/>
      <c r="E114" s="71"/>
      <c r="F114" s="71"/>
    </row>
    <row r="115" spans="3:6" ht="12.75">
      <c r="C115" s="71"/>
      <c r="D115" s="71"/>
      <c r="E115" s="71"/>
      <c r="F115" s="71"/>
    </row>
    <row r="116" spans="3:6" ht="12.75">
      <c r="C116" s="71"/>
      <c r="D116" s="71"/>
      <c r="E116" s="71"/>
      <c r="F116" s="71"/>
    </row>
    <row r="117" spans="3:6" ht="12.75">
      <c r="C117" s="71"/>
      <c r="D117" s="71"/>
      <c r="E117" s="71"/>
      <c r="F117" s="71"/>
    </row>
    <row r="118" spans="3:6" ht="12.75">
      <c r="C118" s="71"/>
      <c r="D118" s="71"/>
      <c r="E118" s="71"/>
      <c r="F118" s="71"/>
    </row>
    <row r="119" spans="3:6" ht="12.75">
      <c r="C119" s="71"/>
      <c r="D119" s="71"/>
      <c r="E119" s="71"/>
      <c r="F119" s="71"/>
    </row>
    <row r="120" spans="3:6" ht="12.75">
      <c r="C120" s="71"/>
      <c r="D120" s="71"/>
      <c r="E120" s="71"/>
      <c r="F120" s="71"/>
    </row>
    <row r="121" spans="3:6" ht="12.75">
      <c r="C121" s="71"/>
      <c r="D121" s="71"/>
      <c r="E121" s="71"/>
      <c r="F121" s="71"/>
    </row>
    <row r="122" spans="3:6" ht="12.75">
      <c r="C122" s="71"/>
      <c r="D122" s="71"/>
      <c r="E122" s="71"/>
      <c r="F122" s="71"/>
    </row>
    <row r="123" spans="3:6" ht="12.75">
      <c r="C123" s="71"/>
      <c r="D123" s="71"/>
      <c r="E123" s="71"/>
      <c r="F123" s="71"/>
    </row>
    <row r="124" spans="3:6" ht="12.75">
      <c r="C124" s="71"/>
      <c r="D124" s="71"/>
      <c r="E124" s="71"/>
      <c r="F124" s="71"/>
    </row>
    <row r="125" spans="3:6" ht="12.75">
      <c r="C125" s="71"/>
      <c r="D125" s="71"/>
      <c r="E125" s="71"/>
      <c r="F125" s="71"/>
    </row>
    <row r="126" spans="3:6" ht="12.75">
      <c r="C126" s="71"/>
      <c r="D126" s="71"/>
      <c r="E126" s="71"/>
      <c r="F126" s="71"/>
    </row>
    <row r="127" spans="3:6" ht="12.75">
      <c r="C127" s="71"/>
      <c r="D127" s="71"/>
      <c r="E127" s="71"/>
      <c r="F127" s="71"/>
    </row>
    <row r="128" spans="3:6" ht="12.75">
      <c r="C128" s="71"/>
      <c r="D128" s="71"/>
      <c r="E128" s="71"/>
      <c r="F128" s="71"/>
    </row>
    <row r="129" spans="3:6" ht="12.75">
      <c r="C129" s="71"/>
      <c r="D129" s="71"/>
      <c r="E129" s="71"/>
      <c r="F129" s="71"/>
    </row>
    <row r="130" spans="3:6" ht="12.75">
      <c r="C130" s="71"/>
      <c r="D130" s="71"/>
      <c r="E130" s="71"/>
      <c r="F130" s="71"/>
    </row>
  </sheetData>
  <mergeCells count="4">
    <mergeCell ref="F3:J3"/>
    <mergeCell ref="F4:J4"/>
    <mergeCell ref="F2:J2"/>
    <mergeCell ref="A16:D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r:id="rId4"/>
  <headerFooter alignWithMargins="0">
    <oddHeader>&amp;C&amp;A</oddHeader>
    <oddFooter>&amp;CTestVar.xls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C82"/>
  <sheetViews>
    <sheetView workbookViewId="0" topLeftCell="A12">
      <selection activeCell="A72" sqref="A72:C82"/>
    </sheetView>
  </sheetViews>
  <sheetFormatPr defaultColWidth="11.421875" defaultRowHeight="12.75"/>
  <sheetData>
    <row r="2" ht="12.75">
      <c r="B2" s="17" t="str">
        <f>nature</f>
        <v>bi</v>
      </c>
    </row>
    <row r="11" spans="1:3" ht="12.75">
      <c r="A11" s="1" t="s">
        <v>39</v>
      </c>
      <c r="B11" s="1" t="s">
        <v>4</v>
      </c>
      <c r="C11" s="1" t="s">
        <v>23</v>
      </c>
    </row>
    <row r="12" spans="1:3" ht="12.75">
      <c r="A12" s="9">
        <f>IF(nature="droite",var0-3*ect0,var0-5*ect0)</f>
        <v>-172.74756441743295</v>
      </c>
      <c r="B12" s="2" t="e">
        <f>IF(nature="gauche",CHIDIST(point_crit_1*(n-1)/A12,n-1),IF(nature="droite",1-CHIDIST(point_crit_2*(n-1)/A12,n-1),CHIDIST(point_crit_1*(n-1)/A12,n-1)-CHIDIST(point_crit_2*(n-1)/A12,n-1)))</f>
        <v>#NUM!</v>
      </c>
      <c r="C12" s="2" t="e">
        <f>1-B12</f>
        <v>#NUM!</v>
      </c>
    </row>
    <row r="13" spans="1:3" ht="12.75">
      <c r="A13" s="9">
        <f>IF(nature="bi",A12+5*ect0/20,A12+5*ect0/40)</f>
        <v>-152.8601861965613</v>
      </c>
      <c r="B13" s="2" t="e">
        <f aca="true" t="shared" si="0" ref="B13:B76">IF(nature="gauche",CHIDIST(point_crit_1*(n-1)/A13,n-1),IF(nature="droite",1-CHIDIST(point_crit_2*(n-1)/A13,n-1),CHIDIST(point_crit_1*(n-1)/A13,n-1)-CHIDIST(point_crit_2*(n-1)/A13,n-1)))</f>
        <v>#NUM!</v>
      </c>
      <c r="C13" s="2" t="e">
        <f aca="true" t="shared" si="1" ref="C13:C33">1-B13</f>
        <v>#NUM!</v>
      </c>
    </row>
    <row r="14" spans="1:3" ht="12.75">
      <c r="A14" s="9">
        <f aca="true" t="shared" si="2" ref="A14:A72">IF(nature="bi",A13+5*ect0/20,A13+5*ect0/40)</f>
        <v>-132.97280797568965</v>
      </c>
      <c r="B14" s="2" t="e">
        <f t="shared" si="0"/>
        <v>#NUM!</v>
      </c>
      <c r="C14" s="2" t="e">
        <f t="shared" si="1"/>
        <v>#NUM!</v>
      </c>
    </row>
    <row r="15" spans="1:3" ht="12.75">
      <c r="A15" s="9">
        <f t="shared" si="2"/>
        <v>-113.085429754818</v>
      </c>
      <c r="B15" s="2" t="e">
        <f t="shared" si="0"/>
        <v>#NUM!</v>
      </c>
      <c r="C15" s="2" t="e">
        <f t="shared" si="1"/>
        <v>#NUM!</v>
      </c>
    </row>
    <row r="16" spans="1:3" ht="12.75">
      <c r="A16" s="9">
        <f t="shared" si="2"/>
        <v>-93.19805153394634</v>
      </c>
      <c r="B16" s="2" t="e">
        <f t="shared" si="0"/>
        <v>#NUM!</v>
      </c>
      <c r="C16" s="2" t="e">
        <f t="shared" si="1"/>
        <v>#NUM!</v>
      </c>
    </row>
    <row r="17" spans="1:3" ht="12.75">
      <c r="A17" s="9">
        <f t="shared" si="2"/>
        <v>-73.31067331307469</v>
      </c>
      <c r="B17" s="2" t="e">
        <f t="shared" si="0"/>
        <v>#NUM!</v>
      </c>
      <c r="C17" s="2" t="e">
        <f t="shared" si="1"/>
        <v>#NUM!</v>
      </c>
    </row>
    <row r="18" spans="1:3" ht="12.75">
      <c r="A18" s="9">
        <f t="shared" si="2"/>
        <v>-53.42329509220304</v>
      </c>
      <c r="B18" s="2" t="e">
        <f t="shared" si="0"/>
        <v>#NUM!</v>
      </c>
      <c r="C18" s="2" t="e">
        <f t="shared" si="1"/>
        <v>#NUM!</v>
      </c>
    </row>
    <row r="19" spans="1:3" ht="12.75">
      <c r="A19" s="9">
        <f t="shared" si="2"/>
        <v>-33.535916871331395</v>
      </c>
      <c r="B19" s="2" t="e">
        <f t="shared" si="0"/>
        <v>#NUM!</v>
      </c>
      <c r="C19" s="2" t="e">
        <f t="shared" si="1"/>
        <v>#NUM!</v>
      </c>
    </row>
    <row r="20" spans="1:3" ht="12.75">
      <c r="A20" s="9">
        <f t="shared" si="2"/>
        <v>-13.648538650459749</v>
      </c>
      <c r="B20" s="2" t="e">
        <f t="shared" si="0"/>
        <v>#NUM!</v>
      </c>
      <c r="C20" s="2" t="e">
        <f t="shared" si="1"/>
        <v>#NUM!</v>
      </c>
    </row>
    <row r="21" spans="1:3" ht="12.75">
      <c r="A21" s="9">
        <f t="shared" si="2"/>
        <v>6.238839570411898</v>
      </c>
      <c r="B21" s="2">
        <f t="shared" si="0"/>
        <v>4.447563279814886E-47</v>
      </c>
      <c r="C21" s="2">
        <f t="shared" si="1"/>
        <v>1</v>
      </c>
    </row>
    <row r="22" spans="1:3" ht="12.75">
      <c r="A22" s="9">
        <f t="shared" si="2"/>
        <v>26.126217791283544</v>
      </c>
      <c r="B22" s="2">
        <f t="shared" si="0"/>
        <v>9.211247930108025E-08</v>
      </c>
      <c r="C22" s="2">
        <f t="shared" si="1"/>
        <v>0.9999999078875207</v>
      </c>
    </row>
    <row r="23" spans="1:3" ht="12.75">
      <c r="A23" s="9">
        <f t="shared" si="2"/>
        <v>46.01359601215519</v>
      </c>
      <c r="B23" s="2">
        <f t="shared" si="0"/>
        <v>0.0020826942327087897</v>
      </c>
      <c r="C23" s="2">
        <f t="shared" si="1"/>
        <v>0.9979173057672912</v>
      </c>
    </row>
    <row r="24" spans="1:3" ht="12.75">
      <c r="A24" s="9">
        <f t="shared" si="2"/>
        <v>65.90097423302683</v>
      </c>
      <c r="B24" s="2">
        <f t="shared" si="0"/>
        <v>0.05283036416780281</v>
      </c>
      <c r="C24" s="2">
        <f t="shared" si="1"/>
        <v>0.9471696358321972</v>
      </c>
    </row>
    <row r="25" spans="1:3" ht="12.75">
      <c r="A25" s="9">
        <f t="shared" si="2"/>
        <v>85.78835245389848</v>
      </c>
      <c r="B25" s="2">
        <f t="shared" si="0"/>
        <v>0.2117695007860423</v>
      </c>
      <c r="C25" s="2">
        <f t="shared" si="1"/>
        <v>0.7882304992139577</v>
      </c>
    </row>
    <row r="26" spans="1:3" ht="12.75">
      <c r="A26" s="9">
        <f t="shared" si="2"/>
        <v>105.67573067477014</v>
      </c>
      <c r="B26" s="2">
        <f t="shared" si="0"/>
        <v>0.4188382638478174</v>
      </c>
      <c r="C26" s="2">
        <f t="shared" si="1"/>
        <v>0.5811617361521826</v>
      </c>
    </row>
    <row r="27" spans="1:3" ht="12.75">
      <c r="A27" s="9">
        <f t="shared" si="2"/>
        <v>125.56310889564179</v>
      </c>
      <c r="B27" s="2">
        <f t="shared" si="0"/>
        <v>0.6013602993108681</v>
      </c>
      <c r="C27" s="2">
        <f t="shared" si="1"/>
        <v>0.3986397006891319</v>
      </c>
    </row>
    <row r="28" spans="1:3" ht="12.75">
      <c r="A28" s="9">
        <f t="shared" si="2"/>
        <v>145.45048711651344</v>
      </c>
      <c r="B28" s="2">
        <f t="shared" si="0"/>
        <v>0.7352577715276448</v>
      </c>
      <c r="C28" s="2">
        <f t="shared" si="1"/>
        <v>0.2647422284723552</v>
      </c>
    </row>
    <row r="29" spans="1:3" ht="12.75">
      <c r="A29" s="9">
        <f t="shared" si="2"/>
        <v>165.3378653373851</v>
      </c>
      <c r="B29" s="2">
        <f t="shared" si="0"/>
        <v>0.8237669234687108</v>
      </c>
      <c r="C29" s="2">
        <f t="shared" si="1"/>
        <v>0.17623307653128917</v>
      </c>
    </row>
    <row r="30" spans="1:3" ht="12.75">
      <c r="A30" s="9">
        <f t="shared" si="2"/>
        <v>185.22524355825675</v>
      </c>
      <c r="B30" s="2">
        <f t="shared" si="0"/>
        <v>0.8760561977993258</v>
      </c>
      <c r="C30" s="2">
        <f t="shared" si="1"/>
        <v>0.12394380220067425</v>
      </c>
    </row>
    <row r="31" spans="1:3" ht="12.75">
      <c r="A31" s="9">
        <f t="shared" si="2"/>
        <v>205.1126217791284</v>
      </c>
      <c r="B31" s="2">
        <f t="shared" si="0"/>
        <v>0.8996808305706783</v>
      </c>
      <c r="C31" s="2">
        <f t="shared" si="1"/>
        <v>0.10031916942932173</v>
      </c>
    </row>
    <row r="32" spans="1:3" ht="12.75">
      <c r="A32" s="9">
        <f t="shared" si="2"/>
        <v>225.00000000000006</v>
      </c>
      <c r="B32" s="2">
        <f t="shared" si="0"/>
        <v>0.9000003718850795</v>
      </c>
      <c r="C32" s="2">
        <f t="shared" si="1"/>
        <v>0.09999962811492047</v>
      </c>
    </row>
    <row r="33" spans="1:3" ht="12.75">
      <c r="A33" s="9">
        <f t="shared" si="2"/>
        <v>244.8873782208717</v>
      </c>
      <c r="B33" s="2">
        <f t="shared" si="0"/>
        <v>0.8812712134762427</v>
      </c>
      <c r="C33" s="2">
        <f t="shared" si="1"/>
        <v>0.11872878652375729</v>
      </c>
    </row>
    <row r="34" spans="1:3" ht="12.75">
      <c r="A34" s="9">
        <f t="shared" si="2"/>
        <v>264.77475644174336</v>
      </c>
      <c r="B34" s="2">
        <f t="shared" si="0"/>
        <v>0.8474375027326444</v>
      </c>
      <c r="C34" s="2">
        <f aca="true" t="shared" si="3" ref="C34:C49">1-B34</f>
        <v>0.1525624972673556</v>
      </c>
    </row>
    <row r="35" spans="1:3" ht="12.75">
      <c r="A35" s="9">
        <f t="shared" si="2"/>
        <v>284.662134662615</v>
      </c>
      <c r="B35" s="2">
        <f t="shared" si="0"/>
        <v>0.8023483811631604</v>
      </c>
      <c r="C35" s="2">
        <f t="shared" si="3"/>
        <v>0.19765161883683957</v>
      </c>
    </row>
    <row r="36" spans="1:3" ht="12.75">
      <c r="A36" s="9">
        <f t="shared" si="2"/>
        <v>304.54951288348667</v>
      </c>
      <c r="B36" s="2">
        <f t="shared" si="0"/>
        <v>0.7496461699060705</v>
      </c>
      <c r="C36" s="2">
        <f t="shared" si="3"/>
        <v>0.25035383009392953</v>
      </c>
    </row>
    <row r="37" spans="1:3" ht="12.75">
      <c r="A37" s="9">
        <f t="shared" si="2"/>
        <v>324.4368911043583</v>
      </c>
      <c r="B37" s="2">
        <f t="shared" si="0"/>
        <v>0.692575196927951</v>
      </c>
      <c r="C37" s="2">
        <f t="shared" si="3"/>
        <v>0.307424803072049</v>
      </c>
    </row>
    <row r="38" spans="1:3" ht="12.75">
      <c r="A38" s="9">
        <f t="shared" si="2"/>
        <v>344.32426932523</v>
      </c>
      <c r="B38" s="2">
        <f t="shared" si="0"/>
        <v>0.6338426045576553</v>
      </c>
      <c r="C38" s="2">
        <f t="shared" si="3"/>
        <v>0.3661573954423447</v>
      </c>
    </row>
    <row r="39" spans="1:3" ht="12.75">
      <c r="A39" s="9">
        <f t="shared" si="2"/>
        <v>364.21164754610163</v>
      </c>
      <c r="B39" s="2">
        <f t="shared" si="0"/>
        <v>0.5755665080758379</v>
      </c>
      <c r="C39" s="2">
        <f t="shared" si="3"/>
        <v>0.42443349192416213</v>
      </c>
    </row>
    <row r="40" spans="1:3" ht="12.75">
      <c r="A40" s="9">
        <f t="shared" si="2"/>
        <v>384.0990257669733</v>
      </c>
      <c r="B40" s="2">
        <f t="shared" si="0"/>
        <v>0.5192982182120448</v>
      </c>
      <c r="C40" s="2">
        <f t="shared" si="3"/>
        <v>0.4807017817879552</v>
      </c>
    </row>
    <row r="41" spans="1:3" ht="12.75">
      <c r="A41" s="9">
        <f t="shared" si="2"/>
        <v>403.98640398784494</v>
      </c>
      <c r="B41" s="2">
        <f t="shared" si="0"/>
        <v>0.46609085379147097</v>
      </c>
      <c r="C41" s="2">
        <f t="shared" si="3"/>
        <v>0.533909146208529</v>
      </c>
    </row>
    <row r="42" spans="1:3" ht="12.75">
      <c r="A42" s="9">
        <f t="shared" si="2"/>
        <v>423.8737822087166</v>
      </c>
      <c r="B42" s="2">
        <f t="shared" si="0"/>
        <v>0.4165881472534725</v>
      </c>
      <c r="C42" s="2">
        <f t="shared" si="3"/>
        <v>0.5834118527465275</v>
      </c>
    </row>
    <row r="43" spans="1:3" ht="12.75">
      <c r="A43" s="9">
        <f t="shared" si="2"/>
        <v>443.76116042958824</v>
      </c>
      <c r="B43" s="2">
        <f t="shared" si="0"/>
        <v>0.3711155611407033</v>
      </c>
      <c r="C43" s="2">
        <f t="shared" si="3"/>
        <v>0.6288844388592967</v>
      </c>
    </row>
    <row r="44" spans="1:3" ht="12.75">
      <c r="A44" s="9">
        <f t="shared" si="2"/>
        <v>463.6485386504599</v>
      </c>
      <c r="B44" s="2">
        <f t="shared" si="0"/>
        <v>0.3297635069299135</v>
      </c>
      <c r="C44" s="2">
        <f t="shared" si="3"/>
        <v>0.6702364930700865</v>
      </c>
    </row>
    <row r="45" spans="1:3" ht="12.75">
      <c r="A45" s="9">
        <f t="shared" si="2"/>
        <v>483.53591687133155</v>
      </c>
      <c r="B45" s="2">
        <f t="shared" si="0"/>
        <v>0.2924569789894753</v>
      </c>
      <c r="C45" s="2">
        <f t="shared" si="3"/>
        <v>0.7075430210105247</v>
      </c>
    </row>
    <row r="46" spans="1:3" ht="12.75">
      <c r="A46" s="9">
        <f t="shared" si="2"/>
        <v>503.4232950922032</v>
      </c>
      <c r="B46" s="2">
        <f t="shared" si="0"/>
        <v>0.2590115257649752</v>
      </c>
      <c r="C46" s="2">
        <f t="shared" si="3"/>
        <v>0.7409884742350248</v>
      </c>
    </row>
    <row r="47" spans="1:3" ht="12.75">
      <c r="A47" s="9">
        <f t="shared" si="2"/>
        <v>523.3106733130749</v>
      </c>
      <c r="B47" s="2">
        <f t="shared" si="0"/>
        <v>0.22917591907766577</v>
      </c>
      <c r="C47" s="2">
        <f t="shared" si="3"/>
        <v>0.7708240809223342</v>
      </c>
    </row>
    <row r="48" spans="1:3" ht="12.75">
      <c r="A48" s="9">
        <f t="shared" si="2"/>
        <v>543.1980515339465</v>
      </c>
      <c r="B48" s="2">
        <f t="shared" si="0"/>
        <v>0.20266347914741278</v>
      </c>
      <c r="C48" s="2">
        <f t="shared" si="3"/>
        <v>0.7973365208525872</v>
      </c>
    </row>
    <row r="49" spans="1:3" ht="12.75">
      <c r="A49" s="9">
        <f t="shared" si="2"/>
        <v>563.085429754818</v>
      </c>
      <c r="B49" s="2">
        <f t="shared" si="0"/>
        <v>0.1791744953828558</v>
      </c>
      <c r="C49" s="2">
        <f t="shared" si="3"/>
        <v>0.8208255046171442</v>
      </c>
    </row>
    <row r="50" spans="1:3" ht="12.75">
      <c r="A50" s="9">
        <f t="shared" si="2"/>
        <v>582.9728079756896</v>
      </c>
      <c r="B50" s="2">
        <f t="shared" si="0"/>
        <v>0.15841131754321558</v>
      </c>
      <c r="C50" s="2">
        <f>1-B50</f>
        <v>0.8415886824567844</v>
      </c>
    </row>
    <row r="51" spans="1:3" ht="12.75">
      <c r="A51" s="9">
        <f t="shared" si="2"/>
        <v>602.8601861965612</v>
      </c>
      <c r="B51" s="2">
        <f t="shared" si="0"/>
        <v>0.1400882937846626</v>
      </c>
      <c r="C51" s="2">
        <f>1-B51</f>
        <v>0.8599117062153374</v>
      </c>
    </row>
    <row r="52" spans="1:3" ht="12.75">
      <c r="A52" s="9">
        <f t="shared" si="2"/>
        <v>622.7475644174328</v>
      </c>
      <c r="B52" s="2">
        <f t="shared" si="0"/>
        <v>0.12393769965932888</v>
      </c>
      <c r="C52" s="2">
        <f>1-B52</f>
        <v>0.8760623003406711</v>
      </c>
    </row>
    <row r="53" spans="1:3" ht="12.75">
      <c r="A53" s="9">
        <f t="shared" si="2"/>
        <v>642.6349426383044</v>
      </c>
      <c r="B53" s="2">
        <f t="shared" si="0"/>
        <v>0.10971293805347537</v>
      </c>
      <c r="C53" s="2">
        <f aca="true" t="shared" si="4" ref="C53:C82">1-B53</f>
        <v>0.8902870619465246</v>
      </c>
    </row>
    <row r="54" spans="1:3" ht="12.75">
      <c r="A54" s="9">
        <f t="shared" si="2"/>
        <v>662.522320859176</v>
      </c>
      <c r="B54" s="2">
        <f t="shared" si="0"/>
        <v>0.09718975090550908</v>
      </c>
      <c r="C54" s="2">
        <f t="shared" si="4"/>
        <v>0.9028102490944909</v>
      </c>
    </row>
    <row r="55" spans="1:3" ht="12.75">
      <c r="A55" s="9">
        <f t="shared" si="2"/>
        <v>682.4096990800476</v>
      </c>
      <c r="B55" s="2">
        <f t="shared" si="0"/>
        <v>0.08616621774997846</v>
      </c>
      <c r="C55" s="2">
        <f t="shared" si="4"/>
        <v>0.9138337822500215</v>
      </c>
    </row>
    <row r="56" spans="1:3" ht="12.75">
      <c r="A56" s="9">
        <f t="shared" si="2"/>
        <v>702.2970773009192</v>
      </c>
      <c r="B56" s="2">
        <f t="shared" si="0"/>
        <v>0.07646188989899982</v>
      </c>
      <c r="C56" s="2">
        <f t="shared" si="4"/>
        <v>0.9235381101010002</v>
      </c>
    </row>
    <row r="57" spans="1:3" ht="12.75">
      <c r="A57" s="9">
        <f t="shared" si="2"/>
        <v>722.1844555217908</v>
      </c>
      <c r="B57" s="2">
        <f t="shared" si="0"/>
        <v>0.06791646450933342</v>
      </c>
      <c r="C57" s="2">
        <f t="shared" si="4"/>
        <v>0.9320835354906666</v>
      </c>
    </row>
    <row r="58" spans="1:3" ht="12.75">
      <c r="A58" s="9">
        <f t="shared" si="2"/>
        <v>742.0718337426624</v>
      </c>
      <c r="B58" s="2">
        <f t="shared" si="0"/>
        <v>0.06038815693163213</v>
      </c>
      <c r="C58" s="2">
        <f t="shared" si="4"/>
        <v>0.9396118430683679</v>
      </c>
    </row>
    <row r="59" spans="1:3" ht="12.75">
      <c r="A59" s="9">
        <f t="shared" si="2"/>
        <v>761.959211963534</v>
      </c>
      <c r="B59" s="2">
        <f t="shared" si="0"/>
        <v>0.05375201791927098</v>
      </c>
      <c r="C59" s="2">
        <f t="shared" si="4"/>
        <v>0.946247982080729</v>
      </c>
    </row>
    <row r="60" spans="1:3" ht="12.75">
      <c r="A60" s="9">
        <f t="shared" si="2"/>
        <v>781.8465901844056</v>
      </c>
      <c r="B60" s="2">
        <f t="shared" si="0"/>
        <v>0.04789822593331472</v>
      </c>
      <c r="C60" s="2">
        <f t="shared" si="4"/>
        <v>0.9521017740666853</v>
      </c>
    </row>
    <row r="61" spans="1:3" ht="12.75">
      <c r="A61" s="9">
        <f t="shared" si="2"/>
        <v>801.7339684052772</v>
      </c>
      <c r="B61" s="2">
        <f t="shared" si="0"/>
        <v>0.04273045142815335</v>
      </c>
      <c r="C61" s="2">
        <f t="shared" si="4"/>
        <v>0.9572695485718467</v>
      </c>
    </row>
    <row r="62" spans="1:3" ht="12.75">
      <c r="A62" s="9">
        <f t="shared" si="2"/>
        <v>821.6213466261488</v>
      </c>
      <c r="B62" s="2">
        <f t="shared" si="0"/>
        <v>0.038164323873340567</v>
      </c>
      <c r="C62" s="2">
        <f t="shared" si="4"/>
        <v>0.9618356761266594</v>
      </c>
    </row>
    <row r="63" spans="1:3" ht="12.75">
      <c r="A63" s="9">
        <f t="shared" si="2"/>
        <v>841.5087248470204</v>
      </c>
      <c r="B63" s="2">
        <f t="shared" si="0"/>
        <v>0.03412603143699977</v>
      </c>
      <c r="C63" s="2">
        <f t="shared" si="4"/>
        <v>0.9658739685630002</v>
      </c>
    </row>
    <row r="64" spans="1:3" ht="12.75">
      <c r="A64" s="9">
        <f t="shared" si="2"/>
        <v>861.396103067892</v>
      </c>
      <c r="B64" s="2">
        <f t="shared" si="0"/>
        <v>0.030551034395460253</v>
      </c>
      <c r="C64" s="2">
        <f t="shared" si="4"/>
        <v>0.9694489656045397</v>
      </c>
    </row>
    <row r="65" spans="1:3" ht="12.75">
      <c r="A65" s="9">
        <f t="shared" si="2"/>
        <v>881.2834812887636</v>
      </c>
      <c r="B65" s="2">
        <f t="shared" si="0"/>
        <v>0.027382929357764207</v>
      </c>
      <c r="C65" s="2">
        <f t="shared" si="4"/>
        <v>0.9726170706422358</v>
      </c>
    </row>
    <row r="66" spans="1:3" ht="12.75">
      <c r="A66" s="9">
        <f t="shared" si="2"/>
        <v>901.1708595096352</v>
      </c>
      <c r="B66" s="2">
        <f t="shared" si="0"/>
        <v>0.024572428791271195</v>
      </c>
      <c r="C66" s="2">
        <f t="shared" si="4"/>
        <v>0.9754275712087288</v>
      </c>
    </row>
    <row r="67" spans="1:3" ht="12.75">
      <c r="A67" s="9">
        <f t="shared" si="2"/>
        <v>921.0582377305068</v>
      </c>
      <c r="B67" s="2">
        <f t="shared" si="0"/>
        <v>0.02207646046010603</v>
      </c>
      <c r="C67" s="2">
        <f t="shared" si="4"/>
        <v>0.977923539539894</v>
      </c>
    </row>
    <row r="68" spans="1:3" ht="12.75">
      <c r="A68" s="9">
        <f t="shared" si="2"/>
        <v>940.9456159513784</v>
      </c>
      <c r="B68" s="2">
        <f t="shared" si="0"/>
        <v>0.019857374622107904</v>
      </c>
      <c r="C68" s="2">
        <f t="shared" si="4"/>
        <v>0.9801426253778921</v>
      </c>
    </row>
    <row r="69" spans="1:3" ht="12.75">
      <c r="A69" s="9">
        <f t="shared" si="2"/>
        <v>960.83299417225</v>
      </c>
      <c r="B69" s="2">
        <f t="shared" si="0"/>
        <v>0.01788224784288861</v>
      </c>
      <c r="C69" s="2">
        <f t="shared" si="4"/>
        <v>0.9821177521571114</v>
      </c>
    </row>
    <row r="70" spans="1:3" ht="12.75">
      <c r="A70" s="9">
        <f t="shared" si="2"/>
        <v>980.7203723931216</v>
      </c>
      <c r="B70" s="2">
        <f t="shared" si="0"/>
        <v>0.016122278332400652</v>
      </c>
      <c r="C70" s="2">
        <f t="shared" si="4"/>
        <v>0.9838777216675993</v>
      </c>
    </row>
    <row r="71" spans="1:3" ht="12.75">
      <c r="A71" s="9">
        <f t="shared" si="2"/>
        <v>1000.6077506139932</v>
      </c>
      <c r="B71" s="2">
        <f t="shared" si="0"/>
        <v>0.014552249545165319</v>
      </c>
      <c r="C71" s="2">
        <f t="shared" si="4"/>
        <v>0.9854477504548347</v>
      </c>
    </row>
    <row r="72" spans="1:3" ht="12.75">
      <c r="A72" s="9">
        <f t="shared" si="2"/>
        <v>1020.4951288348648</v>
      </c>
      <c r="B72" s="2">
        <f t="shared" si="0"/>
        <v>0.01315007187271855</v>
      </c>
      <c r="C72" s="2">
        <f t="shared" si="4"/>
        <v>0.9868499281272815</v>
      </c>
    </row>
    <row r="73" spans="1:3" ht="12.75">
      <c r="A73" s="9">
        <f aca="true" t="shared" si="5" ref="A73:A82">IF(nature="bi",A72+5*ect0/20,A72+5*ect0/40)</f>
        <v>1040.3825070557364</v>
      </c>
      <c r="B73" s="2">
        <f t="shared" si="0"/>
        <v>0.01189637912449848</v>
      </c>
      <c r="C73" s="2">
        <f t="shared" si="4"/>
        <v>0.9881036208755015</v>
      </c>
    </row>
    <row r="74" spans="1:3" ht="12.75">
      <c r="A74" s="9">
        <f t="shared" si="5"/>
        <v>1060.269885276608</v>
      </c>
      <c r="B74" s="2">
        <f t="shared" si="0"/>
        <v>0.010774178670628132</v>
      </c>
      <c r="C74" s="2">
        <f t="shared" si="4"/>
        <v>0.9892258213293719</v>
      </c>
    </row>
    <row r="75" spans="1:3" ht="12.75">
      <c r="A75" s="9">
        <f t="shared" si="5"/>
        <v>1080.1572634974796</v>
      </c>
      <c r="B75" s="2">
        <f t="shared" si="0"/>
        <v>0.009768547420747176</v>
      </c>
      <c r="C75" s="2">
        <f t="shared" si="4"/>
        <v>0.9902314525792528</v>
      </c>
    </row>
    <row r="76" spans="1:3" ht="12.75">
      <c r="A76" s="9">
        <f t="shared" si="5"/>
        <v>1100.0446417183512</v>
      </c>
      <c r="B76" s="2">
        <f t="shared" si="0"/>
        <v>0.008866367712026757</v>
      </c>
      <c r="C76" s="2">
        <f t="shared" si="4"/>
        <v>0.9911336322879732</v>
      </c>
    </row>
    <row r="77" spans="1:3" ht="12.75">
      <c r="A77" s="9">
        <f t="shared" si="5"/>
        <v>1119.9320199392228</v>
      </c>
      <c r="B77" s="2">
        <f aca="true" t="shared" si="6" ref="B77:B82">IF(nature="gauche",CHIDIST(point_crit_1*(n-1)/A77,n-1),IF(nature="droite",1-CHIDIST(point_crit_2*(n-1)/A77,n-1),CHIDIST(point_crit_1*(n-1)/A77,n-1)-CHIDIST(point_crit_2*(n-1)/A77,n-1)))</f>
        <v>0.008056097887302993</v>
      </c>
      <c r="C77" s="2">
        <f t="shared" si="4"/>
        <v>0.991943902112697</v>
      </c>
    </row>
    <row r="78" spans="1:3" ht="12.75">
      <c r="A78" s="9">
        <f t="shared" si="5"/>
        <v>1139.8193981600944</v>
      </c>
      <c r="B78" s="2">
        <f t="shared" si="6"/>
        <v>0.007327572989014208</v>
      </c>
      <c r="C78" s="2">
        <f t="shared" si="4"/>
        <v>0.9926724270109858</v>
      </c>
    </row>
    <row r="79" spans="1:3" ht="12.75">
      <c r="A79" s="9">
        <f t="shared" si="5"/>
        <v>1159.706776380966</v>
      </c>
      <c r="B79" s="2">
        <f t="shared" si="6"/>
        <v>0.006671831574403653</v>
      </c>
      <c r="C79" s="2">
        <f t="shared" si="4"/>
        <v>0.9933281684255963</v>
      </c>
    </row>
    <row r="80" spans="1:3" ht="12.75">
      <c r="A80" s="9">
        <f t="shared" si="5"/>
        <v>1179.5941546018375</v>
      </c>
      <c r="B80" s="2">
        <f t="shared" si="6"/>
        <v>0.006080964927374755</v>
      </c>
      <c r="C80" s="2">
        <f t="shared" si="4"/>
        <v>0.9939190350726252</v>
      </c>
    </row>
    <row r="81" spans="1:3" ht="12.75">
      <c r="A81" s="9">
        <f t="shared" si="5"/>
        <v>1199.4815328227091</v>
      </c>
      <c r="B81" s="2">
        <f t="shared" si="6"/>
        <v>0.005547987178060043</v>
      </c>
      <c r="C81" s="2">
        <f t="shared" si="4"/>
        <v>0.99445201282194</v>
      </c>
    </row>
    <row r="82" spans="1:3" ht="12.75">
      <c r="A82" s="9">
        <f t="shared" si="5"/>
        <v>1219.3689110435807</v>
      </c>
      <c r="B82" s="2">
        <f t="shared" si="6"/>
        <v>0.0050667197258124075</v>
      </c>
      <c r="C82" s="2">
        <f t="shared" si="4"/>
        <v>0.9949332802741876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Blais</dc:creator>
  <cp:keywords/>
  <dc:description/>
  <cp:lastModifiedBy>Enseignements Généraux</cp:lastModifiedBy>
  <cp:lastPrinted>2000-04-25T20:55:41Z</cp:lastPrinted>
  <dcterms:created xsi:type="dcterms:W3CDTF">1998-11-03T20:52:24Z</dcterms:created>
  <cp:category/>
  <cp:version/>
  <cp:contentType/>
  <cp:contentStatus/>
</cp:coreProperties>
</file>