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shortcut-targets-by-id\1otCCeS5KGEUwXg53SBiDOm0YtjdHs5DY\00_ENR\01_Analyse en énergie\04-EvFormatives (exercices)\"/>
    </mc:Choice>
  </mc:AlternateContent>
  <xr:revisionPtr revIDLastSave="0" documentId="13_ncr:1_{C432182E-657C-424C-86BF-739BF097B775}" xr6:coauthVersionLast="46" xr6:coauthVersionMax="46" xr10:uidLastSave="{00000000-0000-0000-0000-000000000000}"/>
  <bookViews>
    <workbookView xWindow="-120" yWindow="-120" windowWidth="20730" windowHeight="11160" activeTab="1" xr2:uid="{00000000-000D-0000-FFFF-FFFF00000000}"/>
  </bookViews>
  <sheets>
    <sheet name="Ex.1.2.1.A" sheetId="1" r:id="rId1"/>
    <sheet name="Ex.1.2.1.B.C"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2" l="1"/>
  <c r="E19" i="2"/>
  <c r="F19" i="2" s="1"/>
  <c r="B7" i="2"/>
  <c r="B19" i="2" s="1"/>
  <c r="E20" i="2" l="1"/>
  <c r="E21" i="2" s="1"/>
  <c r="E22" i="2" s="1"/>
  <c r="E23" i="2" s="1"/>
  <c r="E24" i="2" s="1"/>
  <c r="E25" i="2" s="1"/>
  <c r="E26" i="2" s="1"/>
  <c r="E27" i="2" s="1"/>
  <c r="E28" i="2" s="1"/>
  <c r="E29" i="2" s="1"/>
  <c r="B39" i="1"/>
  <c r="B6" i="2" s="1"/>
  <c r="B18" i="2" s="1"/>
  <c r="B35" i="1"/>
  <c r="B8" i="2" s="1"/>
  <c r="B20" i="2" s="1"/>
  <c r="B7" i="1"/>
  <c r="B27" i="1" s="1"/>
  <c r="B30" i="1" s="1"/>
  <c r="B31" i="1" s="1"/>
  <c r="F20" i="2" l="1"/>
  <c r="G20" i="2" s="1"/>
  <c r="I20" i="2" s="1"/>
  <c r="G19" i="2"/>
  <c r="I19" i="2" s="1"/>
  <c r="F21" i="2"/>
  <c r="B15" i="1"/>
  <c r="F22" i="2" l="1"/>
  <c r="G21" i="2"/>
  <c r="I21" i="2" s="1"/>
  <c r="B19" i="1"/>
  <c r="B5" i="2" l="1"/>
  <c r="B17" i="2" s="1"/>
  <c r="B23" i="1"/>
  <c r="B43" i="1"/>
  <c r="B45" i="1" s="1"/>
  <c r="F23" i="2"/>
  <c r="G22" i="2"/>
  <c r="I22" i="2" s="1"/>
  <c r="G23" i="2" l="1"/>
  <c r="I23" i="2" s="1"/>
  <c r="F24" i="2"/>
  <c r="F25" i="2" l="1"/>
  <c r="G24" i="2"/>
  <c r="I24" i="2" s="1"/>
  <c r="G25" i="2" l="1"/>
  <c r="I25" i="2" s="1"/>
  <c r="F26" i="2"/>
  <c r="F27" i="2" l="1"/>
  <c r="G26" i="2"/>
  <c r="I26" i="2" s="1"/>
  <c r="F29" i="2" l="1"/>
  <c r="G29" i="2" s="1"/>
  <c r="I29" i="2" s="1"/>
  <c r="F28" i="2"/>
  <c r="G27" i="2"/>
  <c r="I27" i="2" s="1"/>
  <c r="G28" i="2" l="1"/>
  <c r="I28" i="2" s="1"/>
  <c r="I31" i="2" s="1"/>
  <c r="B32" i="2" s="1"/>
</calcChain>
</file>

<file path=xl/sharedStrings.xml><?xml version="1.0" encoding="utf-8"?>
<sst xmlns="http://schemas.openxmlformats.org/spreadsheetml/2006/main" count="62" uniqueCount="62">
  <si>
    <t>nb j dans année</t>
  </si>
  <si>
    <t>rendement (m3/T de msv)</t>
  </si>
  <si>
    <t>méthane (m3)</t>
  </si>
  <si>
    <t>données venant principalement de :</t>
  </si>
  <si>
    <t>proportion matière sèche volatile MSV (par rapport MS)</t>
  </si>
  <si>
    <t xml:space="preserve">proportion de méthane </t>
  </si>
  <si>
    <t>https://www.ifip.asso.fr/sites/default/files/pdf-documentations/tp1998n4levasseur.pdf</t>
  </si>
  <si>
    <t xml:space="preserve"> prix méthane ($/m3)</t>
  </si>
  <si>
    <t>gain</t>
  </si>
  <si>
    <t>prix installation ($)</t>
  </si>
  <si>
    <t>fumier kg/j/vache</t>
  </si>
  <si>
    <t>nb vache</t>
  </si>
  <si>
    <t>https://www.agrireseau.net/bovinslaitiers/Documents/bov49.pdf</t>
  </si>
  <si>
    <t>porc</t>
  </si>
  <si>
    <t>vache</t>
  </si>
  <si>
    <t>masse de fumier annuelle (T)</t>
  </si>
  <si>
    <t>MJ/T</t>
  </si>
  <si>
    <t>MJ nécessaires</t>
  </si>
  <si>
    <t>densité énergétique MJ/m3 de CH4</t>
  </si>
  <si>
    <t>m3 de méthane utilisé</t>
  </si>
  <si>
    <t>rendement chaudière</t>
  </si>
  <si>
    <t>PRI standard</t>
  </si>
  <si>
    <t>kWh d'élec utilisés</t>
  </si>
  <si>
    <t>prix du kWh</t>
  </si>
  <si>
    <t>coût élec</t>
  </si>
  <si>
    <t>gain vidage de fosse</t>
  </si>
  <si>
    <t>coût mensuel de vidage</t>
  </si>
  <si>
    <t>nb mois</t>
  </si>
  <si>
    <t>coût fertilisant en plus par an</t>
  </si>
  <si>
    <t>gain annuel</t>
  </si>
  <si>
    <t>PRI simple</t>
  </si>
  <si>
    <t>manque à gagner gaz</t>
  </si>
  <si>
    <t>exercice 1 : Calcul de PRI sur digesteur anaérobie</t>
  </si>
  <si>
    <t>exercice 2 : actualisation des flux financiers</t>
  </si>
  <si>
    <t>durée de vie de l'installation (ans) :</t>
  </si>
  <si>
    <t>gain annuel  entretien fosse :</t>
  </si>
  <si>
    <t>gain annuel vente méthane :</t>
  </si>
  <si>
    <t>taux d'actualisation :</t>
  </si>
  <si>
    <t>taux d'inflation sur méthane :</t>
  </si>
  <si>
    <t>taux d'inflation sur électricité :</t>
  </si>
  <si>
    <t>taux d'inflation sur fertilisant :</t>
  </si>
  <si>
    <t>taux d'inflation sur entretien fosse :</t>
  </si>
  <si>
    <t>somme des VA gains méthane :</t>
  </si>
  <si>
    <t>somme des VA dépense fertilisant :</t>
  </si>
  <si>
    <t>somme des VA gain fosse :</t>
  </si>
  <si>
    <t>somme des VA dépense électricité :</t>
  </si>
  <si>
    <t>Prix achat :</t>
  </si>
  <si>
    <t>VAN :</t>
  </si>
  <si>
    <t>année du prêt :</t>
  </si>
  <si>
    <t>capital à rembourser</t>
  </si>
  <si>
    <t>intérêts</t>
  </si>
  <si>
    <t>durée du prêt :</t>
  </si>
  <si>
    <t>taux du prêt :</t>
  </si>
  <si>
    <t>valeur actualisée</t>
  </si>
  <si>
    <t>total à payer</t>
  </si>
  <si>
    <t>VAN du prêt</t>
  </si>
  <si>
    <t>remboursement annuel sur capital :</t>
  </si>
  <si>
    <t>PRISE EN COMPTE DU PRÊT :</t>
  </si>
  <si>
    <t>(mettre 1 en durée du prêt et 0 en taux du prêt ci-dessous pour simuler le cas de l'exercice 2)</t>
  </si>
  <si>
    <r>
      <rPr>
        <u/>
        <sz val="11"/>
        <color theme="1"/>
        <rFont val="Calibri"/>
        <family val="2"/>
        <scheme val="minor"/>
      </rPr>
      <t>N.B.:</t>
    </r>
    <r>
      <rPr>
        <sz val="11"/>
        <color theme="1"/>
        <rFont val="Calibri"/>
        <family val="2"/>
        <scheme val="minor"/>
      </rPr>
      <t xml:space="preserve"> Le fait de rembourser une même part de capital à tous les ans s'appelle un "remboursement à amortissement constant". Cette manière de rembourser un prêt n'est en fait pas très courante, particulièrement pour les particuliers, mais elle est introduite ici pour simplifier les calculs. Pour avoir une même somme à payer tout les ans ("annuité constante") if faut utiliser une autre formule qui n'a pas été vue en cours, mais que vous pouvez trouver ici: https://fr.wikipedia.org/wiki/Emprunt_(finance)#L'emprunt_indivis_%C3%A0_annuit%C3%A9_constante (ou ci-dessous). Il est d'ailleurs intéressant de noter que selon la technique de remboursement utilisée, la somme totale finalement payée n'est pas exactement la même.</t>
    </r>
  </si>
  <si>
    <t>dépense annuelle fertilisant :</t>
  </si>
  <si>
    <t>dépense annuelle électricité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</si>
</sst>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u/>
      <sz val="11"/>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5" tint="0.39997558519241921"/>
        <bgColor indexed="64"/>
      </patternFill>
    </fill>
    <fill>
      <patternFill patternType="solid">
        <fgColor theme="4" tint="0.59999389629810485"/>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0" fillId="0" borderId="1" xfId="0" applyBorder="1"/>
    <xf numFmtId="0" fontId="0" fillId="0" borderId="2" xfId="0" applyBorder="1"/>
    <xf numFmtId="0" fontId="0" fillId="0" borderId="0" xfId="0" applyBorder="1"/>
    <xf numFmtId="3" fontId="0" fillId="0" borderId="0" xfId="0" applyNumberFormat="1"/>
    <xf numFmtId="0" fontId="1" fillId="0" borderId="0" xfId="1"/>
    <xf numFmtId="0" fontId="0" fillId="0" borderId="0" xfId="0" applyAlignment="1">
      <alignment horizontal="right"/>
    </xf>
    <xf numFmtId="0" fontId="0" fillId="0" borderId="3" xfId="0" applyBorder="1"/>
    <xf numFmtId="0" fontId="0" fillId="2" borderId="2" xfId="0" applyFill="1" applyBorder="1"/>
    <xf numFmtId="0" fontId="0" fillId="3" borderId="2" xfId="0" applyFill="1" applyBorder="1"/>
    <xf numFmtId="0" fontId="2" fillId="0" borderId="0" xfId="0" applyFont="1"/>
    <xf numFmtId="0" fontId="0" fillId="0" borderId="0" xfId="0" applyAlignment="1">
      <alignment horizontal="left" wrapText="1"/>
    </xf>
    <xf numFmtId="0" fontId="0" fillId="0" borderId="4" xfId="0" applyBorder="1"/>
    <xf numFmtId="3" fontId="0" fillId="0" borderId="4" xfId="0" applyNumberFormat="1" applyBorder="1"/>
    <xf numFmtId="0" fontId="2" fillId="4" borderId="4" xfId="0" applyFont="1" applyFill="1" applyBorder="1"/>
    <xf numFmtId="3" fontId="2" fillId="4" borderId="4" xfId="0" applyNumberFormat="1" applyFont="1" applyFill="1" applyBorder="1"/>
    <xf numFmtId="0" fontId="0" fillId="4" borderId="0" xfId="0" applyFill="1"/>
    <xf numFmtId="0" fontId="3" fillId="0" borderId="0" xfId="0" applyFont="1"/>
    <xf numFmtId="0" fontId="0" fillId="0" borderId="0" xfId="0" applyAlignment="1">
      <alignment horizontal="left"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17</xdr:row>
      <xdr:rowOff>0</xdr:rowOff>
    </xdr:from>
    <xdr:to>
      <xdr:col>20</xdr:col>
      <xdr:colOff>9525</xdr:colOff>
      <xdr:row>21</xdr:row>
      <xdr:rowOff>129540</xdr:rowOff>
    </xdr:to>
    <xdr:pic>
      <xdr:nvPicPr>
        <xdr:cNvPr id="7" name="Image 6">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stretch>
          <a:fillRect/>
        </a:stretch>
      </xdr:blipFill>
      <xdr:spPr>
        <a:xfrm>
          <a:off x="13706475" y="3429000"/>
          <a:ext cx="5343525" cy="89154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fip.asso.fr/sites/default/files/pdf-documentations/tp1998n4levasseur.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5"/>
  <sheetViews>
    <sheetView workbookViewId="0">
      <selection activeCell="B43" sqref="B43"/>
    </sheetView>
  </sheetViews>
  <sheetFormatPr baseColWidth="10" defaultColWidth="11.42578125" defaultRowHeight="15" x14ac:dyDescent="0.25"/>
  <cols>
    <col min="1" max="1" width="36.7109375" customWidth="1"/>
    <col min="2" max="2" width="12" bestFit="1" customWidth="1"/>
  </cols>
  <sheetData>
    <row r="1" spans="1:5" x14ac:dyDescent="0.25">
      <c r="A1" s="10" t="s">
        <v>32</v>
      </c>
      <c r="D1" t="s">
        <v>3</v>
      </c>
    </row>
    <row r="3" spans="1:5" x14ac:dyDescent="0.25">
      <c r="A3" t="s">
        <v>10</v>
      </c>
      <c r="B3">
        <v>50</v>
      </c>
      <c r="D3" s="6" t="s">
        <v>13</v>
      </c>
      <c r="E3" s="5" t="s">
        <v>6</v>
      </c>
    </row>
    <row r="4" spans="1:5" x14ac:dyDescent="0.25">
      <c r="A4" t="s">
        <v>11</v>
      </c>
      <c r="B4">
        <v>300</v>
      </c>
      <c r="D4" s="6" t="s">
        <v>14</v>
      </c>
      <c r="E4" t="s">
        <v>12</v>
      </c>
    </row>
    <row r="5" spans="1:5" x14ac:dyDescent="0.25">
      <c r="A5" t="s">
        <v>0</v>
      </c>
      <c r="B5">
        <v>365</v>
      </c>
    </row>
    <row r="7" spans="1:5" x14ac:dyDescent="0.25">
      <c r="A7" s="1" t="s">
        <v>15</v>
      </c>
      <c r="B7" s="2">
        <f>B3*B4*B5/1000</f>
        <v>5475</v>
      </c>
    </row>
    <row r="9" spans="1:5" x14ac:dyDescent="0.25">
      <c r="A9" t="s">
        <v>4</v>
      </c>
      <c r="B9">
        <v>0.1</v>
      </c>
    </row>
    <row r="11" spans="1:5" x14ac:dyDescent="0.25">
      <c r="A11" t="s">
        <v>1</v>
      </c>
      <c r="B11">
        <v>500</v>
      </c>
    </row>
    <row r="13" spans="1:5" x14ac:dyDescent="0.25">
      <c r="A13" t="s">
        <v>5</v>
      </c>
      <c r="B13">
        <v>0.6</v>
      </c>
    </row>
    <row r="15" spans="1:5" x14ac:dyDescent="0.25">
      <c r="A15" s="1" t="s">
        <v>2</v>
      </c>
      <c r="B15" s="2">
        <f>B7*B9*B11*B13</f>
        <v>164250</v>
      </c>
    </row>
    <row r="17" spans="1:2" x14ac:dyDescent="0.25">
      <c r="A17" t="s">
        <v>7</v>
      </c>
      <c r="B17">
        <v>0.33</v>
      </c>
    </row>
    <row r="19" spans="1:2" x14ac:dyDescent="0.25">
      <c r="A19" s="1" t="s">
        <v>8</v>
      </c>
      <c r="B19" s="8">
        <f>B17*B15</f>
        <v>54202.5</v>
      </c>
    </row>
    <row r="21" spans="1:2" x14ac:dyDescent="0.25">
      <c r="A21" t="s">
        <v>9</v>
      </c>
      <c r="B21" s="4">
        <v>300000</v>
      </c>
    </row>
    <row r="23" spans="1:2" x14ac:dyDescent="0.25">
      <c r="A23" s="16" t="s">
        <v>30</v>
      </c>
      <c r="B23" s="16">
        <f>B21/B19</f>
        <v>5.5348000553480006</v>
      </c>
    </row>
    <row r="26" spans="1:2" x14ac:dyDescent="0.25">
      <c r="A26" t="s">
        <v>16</v>
      </c>
      <c r="B26">
        <v>80</v>
      </c>
    </row>
    <row r="27" spans="1:2" x14ac:dyDescent="0.25">
      <c r="A27" t="s">
        <v>17</v>
      </c>
      <c r="B27">
        <f>80*B7</f>
        <v>438000</v>
      </c>
    </row>
    <row r="28" spans="1:2" x14ac:dyDescent="0.25">
      <c r="A28" t="s">
        <v>20</v>
      </c>
      <c r="B28">
        <v>0.8</v>
      </c>
    </row>
    <row r="29" spans="1:2" x14ac:dyDescent="0.25">
      <c r="A29" t="s">
        <v>18</v>
      </c>
      <c r="B29">
        <v>40</v>
      </c>
    </row>
    <row r="30" spans="1:2" x14ac:dyDescent="0.25">
      <c r="A30" t="s">
        <v>19</v>
      </c>
      <c r="B30">
        <f>B27/(B29*B28)</f>
        <v>13687.5</v>
      </c>
    </row>
    <row r="31" spans="1:2" x14ac:dyDescent="0.25">
      <c r="A31" s="1" t="s">
        <v>31</v>
      </c>
      <c r="B31" s="9">
        <f>B17*B30</f>
        <v>4516.875</v>
      </c>
    </row>
    <row r="33" spans="1:2" x14ac:dyDescent="0.25">
      <c r="A33" t="s">
        <v>22</v>
      </c>
      <c r="B33">
        <v>500</v>
      </c>
    </row>
    <row r="34" spans="1:2" x14ac:dyDescent="0.25">
      <c r="A34" t="s">
        <v>23</v>
      </c>
      <c r="B34">
        <v>7.0000000000000007E-2</v>
      </c>
    </row>
    <row r="35" spans="1:2" x14ac:dyDescent="0.25">
      <c r="A35" s="1" t="s">
        <v>24</v>
      </c>
      <c r="B35" s="9">
        <f>B33*B34</f>
        <v>35</v>
      </c>
    </row>
    <row r="37" spans="1:2" x14ac:dyDescent="0.25">
      <c r="A37" t="s">
        <v>26</v>
      </c>
      <c r="B37">
        <v>300</v>
      </c>
    </row>
    <row r="38" spans="1:2" x14ac:dyDescent="0.25">
      <c r="A38" t="s">
        <v>27</v>
      </c>
      <c r="B38">
        <v>12</v>
      </c>
    </row>
    <row r="39" spans="1:2" x14ac:dyDescent="0.25">
      <c r="A39" s="1" t="s">
        <v>25</v>
      </c>
      <c r="B39" s="8">
        <f>B38*B37</f>
        <v>3600</v>
      </c>
    </row>
    <row r="41" spans="1:2" x14ac:dyDescent="0.25">
      <c r="A41" s="1" t="s">
        <v>28</v>
      </c>
      <c r="B41" s="9">
        <v>3000</v>
      </c>
    </row>
    <row r="42" spans="1:2" x14ac:dyDescent="0.25">
      <c r="A42" s="7"/>
      <c r="B42" s="3"/>
    </row>
    <row r="43" spans="1:2" x14ac:dyDescent="0.25">
      <c r="A43" s="1" t="s">
        <v>29</v>
      </c>
      <c r="B43" s="2">
        <f>B19-B31-B35 + B39-B41</f>
        <v>50250.625</v>
      </c>
    </row>
    <row r="45" spans="1:2" x14ac:dyDescent="0.25">
      <c r="A45" s="16" t="s">
        <v>21</v>
      </c>
      <c r="B45" s="16">
        <f>B21/B43</f>
        <v>5.970074999067176</v>
      </c>
    </row>
  </sheetData>
  <hyperlinks>
    <hyperlink ref="E3"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6"/>
  <sheetViews>
    <sheetView tabSelected="1" workbookViewId="0">
      <selection activeCell="D33" sqref="D33"/>
    </sheetView>
  </sheetViews>
  <sheetFormatPr baseColWidth="10" defaultColWidth="11.42578125" defaultRowHeight="15" x14ac:dyDescent="0.25"/>
  <cols>
    <col min="1" max="1" width="34.7109375" customWidth="1"/>
    <col min="4" max="4" width="25.42578125" customWidth="1"/>
    <col min="5" max="5" width="19.28515625" customWidth="1"/>
    <col min="7" max="7" width="13.140625" customWidth="1"/>
    <col min="8" max="8" width="15" customWidth="1"/>
    <col min="9" max="9" width="18" customWidth="1"/>
  </cols>
  <sheetData>
    <row r="1" spans="1:5" x14ac:dyDescent="0.25">
      <c r="A1" s="10" t="s">
        <v>33</v>
      </c>
    </row>
    <row r="3" spans="1:5" x14ac:dyDescent="0.25">
      <c r="A3" s="12" t="s">
        <v>34</v>
      </c>
      <c r="B3" s="12">
        <v>20</v>
      </c>
    </row>
    <row r="5" spans="1:5" x14ac:dyDescent="0.25">
      <c r="A5" t="s">
        <v>36</v>
      </c>
      <c r="B5">
        <f>'Ex.1.2.1.A'!B19-'Ex.1.2.1.A'!B31</f>
        <v>49685.625</v>
      </c>
    </row>
    <row r="6" spans="1:5" x14ac:dyDescent="0.25">
      <c r="A6" t="s">
        <v>35</v>
      </c>
      <c r="B6">
        <f>'Ex.1.2.1.A'!B39</f>
        <v>3600</v>
      </c>
    </row>
    <row r="7" spans="1:5" x14ac:dyDescent="0.25">
      <c r="A7" t="s">
        <v>60</v>
      </c>
      <c r="B7">
        <f>'Ex.1.2.1.A'!B41</f>
        <v>3000</v>
      </c>
    </row>
    <row r="8" spans="1:5" x14ac:dyDescent="0.25">
      <c r="A8" t="s">
        <v>61</v>
      </c>
      <c r="B8">
        <f>'Ex.1.2.1.A'!B35</f>
        <v>35</v>
      </c>
    </row>
    <row r="10" spans="1:5" x14ac:dyDescent="0.25">
      <c r="A10" s="12" t="s">
        <v>37</v>
      </c>
      <c r="B10" s="12">
        <v>0.13</v>
      </c>
    </row>
    <row r="12" spans="1:5" x14ac:dyDescent="0.25">
      <c r="A12" s="12" t="s">
        <v>38</v>
      </c>
      <c r="B12" s="12">
        <v>0.05</v>
      </c>
      <c r="D12" s="10" t="s">
        <v>57</v>
      </c>
      <c r="E12" s="17" t="s">
        <v>58</v>
      </c>
    </row>
    <row r="13" spans="1:5" x14ac:dyDescent="0.25">
      <c r="A13" s="12" t="s">
        <v>41</v>
      </c>
      <c r="B13" s="12">
        <v>0.02</v>
      </c>
    </row>
    <row r="14" spans="1:5" ht="15" customHeight="1" x14ac:dyDescent="0.25">
      <c r="A14" s="12" t="s">
        <v>40</v>
      </c>
      <c r="B14" s="12">
        <v>0.02</v>
      </c>
      <c r="D14" s="12" t="s">
        <v>51</v>
      </c>
      <c r="E14" s="12">
        <v>10</v>
      </c>
    </row>
    <row r="15" spans="1:5" x14ac:dyDescent="0.25">
      <c r="A15" s="12" t="s">
        <v>39</v>
      </c>
      <c r="B15" s="12">
        <v>0.02</v>
      </c>
      <c r="D15" s="12" t="s">
        <v>52</v>
      </c>
      <c r="E15" s="12">
        <v>0.04</v>
      </c>
    </row>
    <row r="16" spans="1:5" ht="30" x14ac:dyDescent="0.25">
      <c r="D16" s="11" t="s">
        <v>56</v>
      </c>
      <c r="E16" s="6">
        <f>B22/E14</f>
        <v>30000</v>
      </c>
    </row>
    <row r="17" spans="1:9" x14ac:dyDescent="0.25">
      <c r="A17" t="s">
        <v>42</v>
      </c>
      <c r="B17">
        <f>(B5/(B$10-B12))*(1 - ((1+B12)^(B$3-1))/((1+B$10)^(B$3)))</f>
        <v>484872.98591897107</v>
      </c>
      <c r="D17" s="11"/>
      <c r="E17" s="6"/>
    </row>
    <row r="18" spans="1:9" x14ac:dyDescent="0.25">
      <c r="A18" t="s">
        <v>44</v>
      </c>
      <c r="B18">
        <f t="shared" ref="B18:B20" si="0">(B6/(B$10-B13))*(1 - ((1+B13)^(B$3-1))/((1+B$10)^(B$3)))</f>
        <v>28589.713634699081</v>
      </c>
      <c r="D18" s="10" t="s">
        <v>48</v>
      </c>
      <c r="E18" s="10" t="s">
        <v>49</v>
      </c>
      <c r="F18" s="10" t="s">
        <v>50</v>
      </c>
      <c r="G18" s="10" t="s">
        <v>54</v>
      </c>
      <c r="H18" s="10"/>
      <c r="I18" s="10" t="s">
        <v>53</v>
      </c>
    </row>
    <row r="19" spans="1:9" x14ac:dyDescent="0.25">
      <c r="A19" t="s">
        <v>43</v>
      </c>
      <c r="B19">
        <f t="shared" si="0"/>
        <v>23824.761362249235</v>
      </c>
      <c r="D19" s="10">
        <v>0</v>
      </c>
      <c r="E19" s="4">
        <f>B22</f>
        <v>300000</v>
      </c>
      <c r="F19">
        <f t="shared" ref="F19:F29" si="1">E$15*E19</f>
        <v>12000</v>
      </c>
      <c r="G19" s="4">
        <f>F19+(E19-E20)</f>
        <v>42000</v>
      </c>
      <c r="I19">
        <f t="shared" ref="I19:I29" si="2">G19/((1+B$10)^D19)</f>
        <v>42000</v>
      </c>
    </row>
    <row r="20" spans="1:9" x14ac:dyDescent="0.25">
      <c r="A20" t="s">
        <v>45</v>
      </c>
      <c r="B20">
        <f t="shared" si="0"/>
        <v>277.95554922624109</v>
      </c>
      <c r="D20" s="10">
        <v>1</v>
      </c>
      <c r="E20" s="4">
        <f>IF(E19&gt;0,E19-E$16,0)</f>
        <v>270000</v>
      </c>
      <c r="F20">
        <f t="shared" si="1"/>
        <v>10800</v>
      </c>
      <c r="G20" s="4">
        <f t="shared" ref="G20:G28" si="3">F20+(E20-E21)</f>
        <v>40800</v>
      </c>
      <c r="I20">
        <f t="shared" si="2"/>
        <v>36106.194690265489</v>
      </c>
    </row>
    <row r="21" spans="1:9" x14ac:dyDescent="0.25">
      <c r="D21" s="10">
        <v>2</v>
      </c>
      <c r="E21" s="4">
        <f>IF(E20&gt;0,E20-E$16,0)</f>
        <v>240000</v>
      </c>
      <c r="F21">
        <f t="shared" si="1"/>
        <v>9600</v>
      </c>
      <c r="G21" s="4">
        <f t="shared" si="3"/>
        <v>39600</v>
      </c>
      <c r="I21">
        <f t="shared" si="2"/>
        <v>31012.608661602324</v>
      </c>
    </row>
    <row r="22" spans="1:9" x14ac:dyDescent="0.25">
      <c r="A22" s="12" t="s">
        <v>46</v>
      </c>
      <c r="B22" s="13">
        <v>300000</v>
      </c>
      <c r="D22" s="10">
        <v>3</v>
      </c>
      <c r="E22" s="4">
        <f t="shared" ref="E22:E29" si="4">IF(E21&gt;0,E21-E$16,0)</f>
        <v>210000</v>
      </c>
      <c r="F22">
        <f t="shared" si="1"/>
        <v>8400</v>
      </c>
      <c r="G22" s="4">
        <f t="shared" si="3"/>
        <v>38400</v>
      </c>
      <c r="I22">
        <f t="shared" si="2"/>
        <v>26613.126231463517</v>
      </c>
    </row>
    <row r="23" spans="1:9" x14ac:dyDescent="0.25">
      <c r="D23" s="10">
        <v>4</v>
      </c>
      <c r="E23" s="4">
        <f t="shared" si="4"/>
        <v>180000</v>
      </c>
      <c r="F23">
        <f t="shared" si="1"/>
        <v>7200</v>
      </c>
      <c r="G23" s="4">
        <f t="shared" si="3"/>
        <v>37200</v>
      </c>
      <c r="I23">
        <f t="shared" si="2"/>
        <v>22815.456669672818</v>
      </c>
    </row>
    <row r="24" spans="1:9" ht="15" customHeight="1" x14ac:dyDescent="0.25">
      <c r="D24" s="10">
        <v>5</v>
      </c>
      <c r="E24" s="4">
        <f t="shared" si="4"/>
        <v>150000</v>
      </c>
      <c r="F24">
        <f t="shared" si="1"/>
        <v>6000</v>
      </c>
      <c r="G24" s="4">
        <f t="shared" si="3"/>
        <v>36000</v>
      </c>
      <c r="I24">
        <f t="shared" si="2"/>
        <v>19539.35769598015</v>
      </c>
    </row>
    <row r="25" spans="1:9" x14ac:dyDescent="0.25">
      <c r="D25" s="10">
        <v>6</v>
      </c>
      <c r="E25" s="4">
        <f t="shared" si="4"/>
        <v>120000</v>
      </c>
      <c r="F25">
        <f t="shared" si="1"/>
        <v>4800</v>
      </c>
      <c r="G25" s="4">
        <f t="shared" si="3"/>
        <v>34800</v>
      </c>
      <c r="I25">
        <f t="shared" si="2"/>
        <v>16715.084754673288</v>
      </c>
    </row>
    <row r="26" spans="1:9" x14ac:dyDescent="0.25">
      <c r="D26" s="10">
        <v>7</v>
      </c>
      <c r="E26" s="4">
        <f>IF(E25&gt;0,E25-E$16,0)</f>
        <v>90000</v>
      </c>
      <c r="F26">
        <f t="shared" si="1"/>
        <v>3600</v>
      </c>
      <c r="G26" s="4">
        <f t="shared" si="3"/>
        <v>33600</v>
      </c>
      <c r="I26">
        <f t="shared" si="2"/>
        <v>14282.037629870372</v>
      </c>
    </row>
    <row r="27" spans="1:9" x14ac:dyDescent="0.25">
      <c r="D27" s="10">
        <v>8</v>
      </c>
      <c r="E27" s="4">
        <f t="shared" si="4"/>
        <v>60000</v>
      </c>
      <c r="F27">
        <f t="shared" si="1"/>
        <v>2400</v>
      </c>
      <c r="G27" s="4">
        <f t="shared" si="3"/>
        <v>32400</v>
      </c>
      <c r="I27">
        <f t="shared" si="2"/>
        <v>12187.579519800885</v>
      </c>
    </row>
    <row r="28" spans="1:9" x14ac:dyDescent="0.25">
      <c r="D28" s="10">
        <v>9</v>
      </c>
      <c r="E28" s="4">
        <f t="shared" si="4"/>
        <v>30000</v>
      </c>
      <c r="F28">
        <f t="shared" si="1"/>
        <v>1200</v>
      </c>
      <c r="G28" s="4">
        <f t="shared" si="3"/>
        <v>31200</v>
      </c>
      <c r="I28">
        <f t="shared" si="2"/>
        <v>10386.006801534679</v>
      </c>
    </row>
    <row r="29" spans="1:9" x14ac:dyDescent="0.25">
      <c r="D29" s="10">
        <v>10</v>
      </c>
      <c r="E29" s="4">
        <f t="shared" si="4"/>
        <v>0</v>
      </c>
      <c r="F29">
        <f t="shared" si="1"/>
        <v>0</v>
      </c>
      <c r="G29" s="4">
        <f>F29+(E29-E30)</f>
        <v>0</v>
      </c>
      <c r="I29">
        <f t="shared" si="2"/>
        <v>0</v>
      </c>
    </row>
    <row r="31" spans="1:9" x14ac:dyDescent="0.25">
      <c r="H31" s="10" t="s">
        <v>55</v>
      </c>
      <c r="I31" s="10">
        <f>SUM(I19:I29)</f>
        <v>231657.45265486353</v>
      </c>
    </row>
    <row r="32" spans="1:9" x14ac:dyDescent="0.25">
      <c r="A32" s="14" t="s">
        <v>47</v>
      </c>
      <c r="B32" s="15">
        <f>B17+B18-B19-B20-I31</f>
        <v>257702.52998733107</v>
      </c>
    </row>
    <row r="33" spans="4:17" x14ac:dyDescent="0.25">
      <c r="G33" s="4"/>
    </row>
    <row r="34" spans="4:17" x14ac:dyDescent="0.25">
      <c r="D34" s="18" t="s">
        <v>59</v>
      </c>
      <c r="E34" s="18"/>
      <c r="F34" s="18"/>
      <c r="G34" s="18"/>
      <c r="H34" s="18"/>
      <c r="I34" s="18"/>
      <c r="J34" s="18"/>
      <c r="K34" s="18"/>
      <c r="L34" s="18"/>
      <c r="M34" s="18"/>
      <c r="N34" s="18"/>
      <c r="O34" s="18"/>
      <c r="P34" s="18"/>
      <c r="Q34" s="18"/>
    </row>
    <row r="35" spans="4:17" x14ac:dyDescent="0.25">
      <c r="D35" s="18"/>
      <c r="E35" s="18"/>
      <c r="F35" s="18"/>
      <c r="G35" s="18"/>
      <c r="H35" s="18"/>
      <c r="I35" s="18"/>
      <c r="J35" s="18"/>
      <c r="K35" s="18"/>
      <c r="L35" s="18"/>
      <c r="M35" s="18"/>
      <c r="N35" s="18"/>
      <c r="O35" s="18"/>
      <c r="P35" s="18"/>
      <c r="Q35" s="18"/>
    </row>
    <row r="36" spans="4:17" x14ac:dyDescent="0.25">
      <c r="D36" s="18"/>
      <c r="E36" s="18"/>
      <c r="F36" s="18"/>
      <c r="G36" s="18"/>
      <c r="H36" s="18"/>
      <c r="I36" s="18"/>
      <c r="J36" s="18"/>
      <c r="K36" s="18"/>
      <c r="L36" s="18"/>
      <c r="M36" s="18"/>
      <c r="N36" s="18"/>
      <c r="O36" s="18"/>
      <c r="P36" s="18"/>
      <c r="Q36" s="18"/>
    </row>
  </sheetData>
  <mergeCells count="1">
    <mergeCell ref="D34:Q3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Ex.1.2.1.A</vt:lpstr>
      <vt:lpstr>Ex.1.2.1.B.C</vt:lpstr>
    </vt:vector>
  </TitlesOfParts>
  <Company>Ecole de technologie supérieure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Lunel, Tanguy</dc:creator>
  <cp:lastModifiedBy>Bastien</cp:lastModifiedBy>
  <dcterms:created xsi:type="dcterms:W3CDTF">2019-11-25T19:53:17Z</dcterms:created>
  <dcterms:modified xsi:type="dcterms:W3CDTF">2021-03-28T21:54:55Z</dcterms:modified>
</cp:coreProperties>
</file>