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\02_Notions fondamentales 2019-10-30\2.2_Énergie\04-EvFormatives (exercices)\Anciennes Ressources\"/>
    </mc:Choice>
  </mc:AlternateContent>
  <xr:revisionPtr revIDLastSave="0" documentId="13_ncr:1_{A8DA4121-CB1B-4B8E-AD66-41A0E49AC058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Feuil1" sheetId="1" r:id="rId1"/>
    <sheet name="Take-off" sheetId="4" r:id="rId2"/>
    <sheet name="Montée" sheetId="2" r:id="rId3"/>
    <sheet name="En vol" sheetId="3" r:id="rId4"/>
  </sheets>
  <calcPr calcId="191029"/>
</workbook>
</file>

<file path=xl/calcChain.xml><?xml version="1.0" encoding="utf-8"?>
<calcChain xmlns="http://schemas.openxmlformats.org/spreadsheetml/2006/main">
  <c r="D16" i="1" l="1"/>
  <c r="B16" i="1"/>
  <c r="B20" i="4"/>
  <c r="B25" i="2"/>
  <c r="B52" i="3"/>
  <c r="B49" i="3"/>
  <c r="B50" i="3" s="1"/>
  <c r="B51" i="3" s="1"/>
  <c r="B45" i="3"/>
  <c r="L35" i="3"/>
  <c r="D39" i="3"/>
  <c r="D38" i="3"/>
  <c r="B36" i="3"/>
  <c r="B37" i="3" s="1"/>
  <c r="B32" i="3"/>
  <c r="B33" i="3" s="1"/>
  <c r="B31" i="3"/>
  <c r="B17" i="4"/>
  <c r="B16" i="4"/>
  <c r="B14" i="4"/>
  <c r="B13" i="4"/>
  <c r="B9" i="4"/>
  <c r="B11" i="4"/>
  <c r="B5" i="4"/>
  <c r="B3" i="4"/>
  <c r="B18" i="2"/>
  <c r="B17" i="2"/>
  <c r="D16" i="3"/>
  <c r="B16" i="3"/>
  <c r="B17" i="3" s="1"/>
  <c r="B8" i="3"/>
  <c r="B11" i="3"/>
  <c r="B5" i="3"/>
  <c r="B6" i="2"/>
  <c r="B7" i="2" s="1"/>
  <c r="B19" i="2"/>
  <c r="B9" i="2"/>
  <c r="B11" i="2" s="1"/>
  <c r="B58" i="1"/>
  <c r="B59" i="1" s="1"/>
  <c r="D58" i="1"/>
  <c r="B55" i="1"/>
  <c r="B34" i="1"/>
  <c r="B44" i="1"/>
  <c r="H38" i="1"/>
  <c r="B52" i="1"/>
  <c r="B53" i="1" s="1"/>
  <c r="H26" i="1"/>
  <c r="H24" i="1"/>
  <c r="H29" i="1"/>
  <c r="B41" i="1"/>
  <c r="B42" i="1" s="1"/>
  <c r="H27" i="1"/>
  <c r="G6" i="1"/>
  <c r="B38" i="3" l="1"/>
  <c r="B39" i="3" s="1"/>
  <c r="B41" i="3" s="1"/>
  <c r="D37" i="3"/>
  <c r="B9" i="3"/>
  <c r="B13" i="3" s="1"/>
  <c r="B19" i="3" s="1"/>
  <c r="B12" i="2"/>
  <c r="B15" i="2" s="1"/>
  <c r="B16" i="2" s="1"/>
  <c r="B21" i="2" s="1"/>
  <c r="B22" i="2" s="1"/>
  <c r="B61" i="1"/>
  <c r="B12" i="1"/>
  <c r="B15" i="1" s="1"/>
  <c r="B23" i="3" l="1"/>
  <c r="B21" i="3"/>
  <c r="B65" i="1"/>
  <c r="B63" i="1"/>
  <c r="B7" i="1"/>
  <c r="B4" i="1" l="1"/>
  <c r="B8" i="1" s="1"/>
  <c r="B43" i="1"/>
  <c r="B45" i="1" s="1"/>
  <c r="B46" i="1" s="1"/>
  <c r="B30" i="1"/>
  <c r="B31" i="1" l="1"/>
  <c r="B9" i="1"/>
  <c r="B35" i="1" l="1"/>
  <c r="B37" i="1" s="1"/>
  <c r="B38" i="1" s="1"/>
  <c r="B48" i="1"/>
  <c r="B49" i="1" s="1"/>
</calcChain>
</file>

<file path=xl/sharedStrings.xml><?xml version="1.0" encoding="utf-8"?>
<sst xmlns="http://schemas.openxmlformats.org/spreadsheetml/2006/main" count="258" uniqueCount="152">
  <si>
    <t>m</t>
  </si>
  <si>
    <t>kg</t>
  </si>
  <si>
    <t>v</t>
  </si>
  <si>
    <t>m/s</t>
  </si>
  <si>
    <t>Ek=0,5mv^2</t>
  </si>
  <si>
    <t>J</t>
  </si>
  <si>
    <t>Ek en MJ</t>
  </si>
  <si>
    <t>Masse req</t>
  </si>
  <si>
    <t>efficacié</t>
  </si>
  <si>
    <t>Vol req</t>
  </si>
  <si>
    <t>Kg carburant</t>
  </si>
  <si>
    <t>Litre carburant</t>
  </si>
  <si>
    <t>Énergie cinétique</t>
  </si>
  <si>
    <t>Énerie potentielle</t>
  </si>
  <si>
    <t>E=mgh</t>
  </si>
  <si>
    <t>E 10 000m</t>
  </si>
  <si>
    <t>Solution de l'étudiant</t>
  </si>
  <si>
    <t>Masse à vide</t>
  </si>
  <si>
    <t>t</t>
  </si>
  <si>
    <t>Masse max au décollage</t>
  </si>
  <si>
    <t>Boeing 747-400</t>
  </si>
  <si>
    <t>Payload max</t>
  </si>
  <si>
    <t>Capacité de kérosène</t>
  </si>
  <si>
    <t>L</t>
  </si>
  <si>
    <t>kg/L</t>
  </si>
  <si>
    <t>Densité du kérosène type</t>
  </si>
  <si>
    <t>Payload net (- carburant)</t>
  </si>
  <si>
    <t>% de charge en carburant</t>
  </si>
  <si>
    <t>Soustraction</t>
  </si>
  <si>
    <t>Les passagers et le cargo ne représentent que 20% de la charge.</t>
  </si>
  <si>
    <t>0,77-0,83; www.econologie.com/les-carburants-petroliers-articles-646.html</t>
  </si>
  <si>
    <t>Densité d'énergie kérosène</t>
  </si>
  <si>
    <t>Densité d'énergie de l'éthanol</t>
  </si>
  <si>
    <t>Rapport de densité d'énergie</t>
  </si>
  <si>
    <t>Donc, si on suppose que la densité ou masse volumique est semblable, c'est impossible avec 216 840 L d'éthanol</t>
  </si>
  <si>
    <t>Wikipédia</t>
  </si>
  <si>
    <t>(=218-173)</t>
  </si>
  <si>
    <t>(=216840*0,8/1000)</t>
  </si>
  <si>
    <t>MJ/kg</t>
  </si>
  <si>
    <t>Densité d'énergie essence</t>
  </si>
  <si>
    <t>kcal/kg</t>
  </si>
  <si>
    <t>Wikipedia</t>
  </si>
  <si>
    <t>Conversion 4,18 55J/kcal</t>
  </si>
  <si>
    <t>même en occupant tout l’espace. On ne peut garantir le décollage ET l’autonomie</t>
  </si>
  <si>
    <t>De plus, puisque l’éthanol a une densité d’énergie de moins de 80% de celle du kérosène,</t>
  </si>
  <si>
    <t xml:space="preserve">En supposant que l’on puisse injecter au départ 130% du volume de carburant et d’air dans les moteurs </t>
  </si>
  <si>
    <t>et que ces derniers ne surchauffent pas trop, on pourrait développer la puissance requise au décollage.</t>
  </si>
  <si>
    <t>Mais 216 840 L d’éthanol ne seraient pas suffisants pour se rendre à bon port, si on suppose que les réservoirs sont vides à l’arrivée.</t>
  </si>
  <si>
    <t>Le trajet devrait être écourté de 30% minimum.</t>
  </si>
  <si>
    <t>efficacité</t>
  </si>
  <si>
    <t>E / Cal power</t>
  </si>
  <si>
    <t>kg carburant</t>
  </si>
  <si>
    <t>MJ</t>
  </si>
  <si>
    <t>PCI</t>
  </si>
  <si>
    <t>MJ/m altitude</t>
  </si>
  <si>
    <t>MJ a altitude de 10 195m</t>
  </si>
  <si>
    <t>Énergie requise en vol</t>
  </si>
  <si>
    <t>Energie totale</t>
  </si>
  <si>
    <t>MJ en vol</t>
  </si>
  <si>
    <t>GJ</t>
  </si>
  <si>
    <t>Glide ratio</t>
  </si>
  <si>
    <t>Power to overcom the drag</t>
  </si>
  <si>
    <t>W</t>
  </si>
  <si>
    <t>MW</t>
  </si>
  <si>
    <t xml:space="preserve">Consommation </t>
  </si>
  <si>
    <t>Densité</t>
  </si>
  <si>
    <t>MJ/L</t>
  </si>
  <si>
    <t>PCI kérosène</t>
  </si>
  <si>
    <t>L/s</t>
  </si>
  <si>
    <t>900 kmh/3,6</t>
  </si>
  <si>
    <t>Kérosène</t>
  </si>
  <si>
    <t>Distance à parcourir</t>
  </si>
  <si>
    <t>km</t>
  </si>
  <si>
    <t>Durée</t>
  </si>
  <si>
    <t>s</t>
  </si>
  <si>
    <t>Carburant consommé</t>
  </si>
  <si>
    <t>Carburant total</t>
  </si>
  <si>
    <t>Vistesse moyenne en vol</t>
  </si>
  <si>
    <t xml:space="preserve">L </t>
  </si>
  <si>
    <t>heures</t>
  </si>
  <si>
    <t>% de carburant consommé en vol</t>
  </si>
  <si>
    <t xml:space="preserve">% de carburant consommé  </t>
  </si>
  <si>
    <t>décollage, montée et atterrissage</t>
  </si>
  <si>
    <t>Au moment où l'avion quitte le sol, il doit fournir une puissance au moins égale à celle qui l'emêche de tomber vers le sol.</t>
  </si>
  <si>
    <t>:1, l''avion tombe de 1m à tous les 17 m parcourus lorsqu'il plane.</t>
  </si>
  <si>
    <t xml:space="preserve">Vitesse de décollage </t>
  </si>
  <si>
    <t>Vitesse à laquelle tomberait, m/s</t>
  </si>
  <si>
    <t>Durée de l'ascension à altitude</t>
  </si>
  <si>
    <t>minutes</t>
  </si>
  <si>
    <t>Altitude</t>
  </si>
  <si>
    <t>Vitesse de montée moyenne</t>
  </si>
  <si>
    <t>Puissance requise</t>
  </si>
  <si>
    <t>Vitesse totale à combattre</t>
  </si>
  <si>
    <t>Masse à supporter</t>
  </si>
  <si>
    <t>Efficacité des moteurs</t>
  </si>
  <si>
    <t>Consommation</t>
  </si>
  <si>
    <t>Vittesse de croisière</t>
  </si>
  <si>
    <t>Vitesse moyenne</t>
  </si>
  <si>
    <t>(dh/dt) moyen</t>
  </si>
  <si>
    <t>m/s, on peut prendre la moyenne car la relation employée est linéaire.</t>
  </si>
  <si>
    <t>Au moment où l'avion est en vol, il doit fournir une puissance au moins égale à celle qui l'emêche de tomber vers le sol.</t>
  </si>
  <si>
    <t>Vitesse en vol</t>
  </si>
  <si>
    <t>Très voisin des specs générales pour un avion.</t>
  </si>
  <si>
    <t>Décollage, montée et atterrissage</t>
  </si>
  <si>
    <t>Puissance moyenne requise</t>
  </si>
  <si>
    <t>Puissance minimale requise</t>
  </si>
  <si>
    <t>Puissance maximale requise</t>
  </si>
  <si>
    <t>MW, au décollage</t>
  </si>
  <si>
    <t>MW' arrivé à vitesse de croisière</t>
  </si>
  <si>
    <t>Consommation moyenne</t>
  </si>
  <si>
    <t>Poussée d'un moteur</t>
  </si>
  <si>
    <t>N</t>
  </si>
  <si>
    <t>Poussée totale</t>
  </si>
  <si>
    <t>Masse au départ</t>
  </si>
  <si>
    <t>Accéléaration théorique</t>
  </si>
  <si>
    <t>m/s2</t>
  </si>
  <si>
    <t>Longueur de la piste</t>
  </si>
  <si>
    <t xml:space="preserve">m </t>
  </si>
  <si>
    <t>Travail</t>
  </si>
  <si>
    <t>Durée du décollage</t>
  </si>
  <si>
    <t>Accélaration nette</t>
  </si>
  <si>
    <t>Vitesse au décollage</t>
  </si>
  <si>
    <t>km/h</t>
  </si>
  <si>
    <t xml:space="preserve">m/s </t>
  </si>
  <si>
    <t>Cette accélération est constante</t>
  </si>
  <si>
    <t>AUTRE</t>
  </si>
  <si>
    <t>m2</t>
  </si>
  <si>
    <t>Coef trainée</t>
  </si>
  <si>
    <t>kg/m3</t>
  </si>
  <si>
    <t>Vitesse de croisière</t>
  </si>
  <si>
    <t>Trainée</t>
  </si>
  <si>
    <t>Puissance à combattre</t>
  </si>
  <si>
    <t>Surface frontale</t>
  </si>
  <si>
    <t>Densité de l'air en altitude</t>
  </si>
  <si>
    <t>Au moment où l'avion est en vol, il doit fournir une puissance égale celle qui doit combattre le trainée et fournir à portance</t>
  </si>
  <si>
    <t>Facteur de surface, fs</t>
  </si>
  <si>
    <t>Surface de portance</t>
  </si>
  <si>
    <t>Portance</t>
  </si>
  <si>
    <t xml:space="preserve">Puissance totale </t>
  </si>
  <si>
    <t>pour maintenir l'avion en vol</t>
  </si>
  <si>
    <t>Autre manière de calculer la portance</t>
  </si>
  <si>
    <t>Coef de portance, finesse x CD</t>
  </si>
  <si>
    <t>Finesse</t>
  </si>
  <si>
    <t>CL/CD</t>
  </si>
  <si>
    <t xml:space="preserve">mg </t>
  </si>
  <si>
    <t>Force exercée par  les 4 moterus</t>
  </si>
  <si>
    <t>Vitesse initiale</t>
  </si>
  <si>
    <t>Vitesse croisière</t>
  </si>
  <si>
    <t>No good</t>
  </si>
  <si>
    <t xml:space="preserve">Un B747-400 consomme </t>
  </si>
  <si>
    <t>kg au décollage</t>
  </si>
  <si>
    <t>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</si>
</sst>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8" formatCode="0.000"/>
    <numFmt numFmtId="177" formatCode="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9" fontId="3" fillId="0" borderId="0" xfId="0" applyNumberFormat="1" applyFont="1"/>
    <xf numFmtId="0" fontId="4" fillId="0" borderId="0" xfId="0" applyFont="1"/>
    <xf numFmtId="0" fontId="3" fillId="0" borderId="0" xfId="0" applyNumberFormat="1" applyFont="1"/>
    <xf numFmtId="0" fontId="2" fillId="0" borderId="0" xfId="0" applyNumberFormat="1" applyFont="1"/>
    <xf numFmtId="0" fontId="5" fillId="0" borderId="0" xfId="0" applyFont="1"/>
    <xf numFmtId="164" fontId="3" fillId="0" borderId="0" xfId="0" applyNumberFormat="1" applyFont="1"/>
    <xf numFmtId="9" fontId="3" fillId="0" borderId="0" xfId="1" applyFont="1"/>
    <xf numFmtId="2" fontId="0" fillId="0" borderId="0" xfId="0" applyNumberFormat="1"/>
    <xf numFmtId="168" fontId="0" fillId="0" borderId="0" xfId="0" applyNumberFormat="1"/>
    <xf numFmtId="0" fontId="0" fillId="0" borderId="0" xfId="0" applyNumberFormat="1"/>
    <xf numFmtId="2" fontId="2" fillId="0" borderId="0" xfId="0" applyNumberFormat="1" applyFont="1"/>
    <xf numFmtId="9" fontId="0" fillId="0" borderId="0" xfId="1" applyFont="1"/>
    <xf numFmtId="3" fontId="7" fillId="0" borderId="0" xfId="0" applyNumberFormat="1" applyFont="1"/>
    <xf numFmtId="3" fontId="0" fillId="0" borderId="0" xfId="0" applyNumberFormat="1"/>
    <xf numFmtId="177" fontId="7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32.42578125" customWidth="1"/>
    <col min="2" max="2" width="11.5703125" customWidth="1"/>
    <col min="3" max="3" width="6.5703125" customWidth="1"/>
    <col min="4" max="4" width="61.28515625" customWidth="1"/>
    <col min="6" max="6" width="28.28515625" customWidth="1"/>
  </cols>
  <sheetData>
    <row r="1" spans="1:7" x14ac:dyDescent="0.25">
      <c r="A1" t="s">
        <v>20</v>
      </c>
    </row>
    <row r="2" spans="1:7" x14ac:dyDescent="0.25">
      <c r="A2" t="s">
        <v>17</v>
      </c>
      <c r="B2" s="3">
        <v>179</v>
      </c>
      <c r="C2" t="s">
        <v>18</v>
      </c>
      <c r="D2" t="s">
        <v>35</v>
      </c>
    </row>
    <row r="3" spans="1:7" x14ac:dyDescent="0.25">
      <c r="A3" t="s">
        <v>19</v>
      </c>
      <c r="B3" s="3">
        <v>397</v>
      </c>
      <c r="C3" t="s">
        <v>18</v>
      </c>
      <c r="D3" t="s">
        <v>35</v>
      </c>
    </row>
    <row r="4" spans="1:7" x14ac:dyDescent="0.25">
      <c r="A4" t="s">
        <v>21</v>
      </c>
      <c r="B4" s="3">
        <f>B3-B2</f>
        <v>218</v>
      </c>
      <c r="C4" t="s">
        <v>18</v>
      </c>
      <c r="D4" t="s">
        <v>28</v>
      </c>
      <c r="G4">
        <v>0.45400000000000001</v>
      </c>
    </row>
    <row r="5" spans="1:7" x14ac:dyDescent="0.25">
      <c r="A5" t="s">
        <v>22</v>
      </c>
      <c r="B5" s="1">
        <v>216840</v>
      </c>
      <c r="C5" t="s">
        <v>23</v>
      </c>
      <c r="D5" t="s">
        <v>35</v>
      </c>
      <c r="G5">
        <v>9.81</v>
      </c>
    </row>
    <row r="6" spans="1:7" x14ac:dyDescent="0.25">
      <c r="A6" t="s">
        <v>25</v>
      </c>
      <c r="B6" s="3">
        <v>0.8</v>
      </c>
      <c r="C6" t="s">
        <v>24</v>
      </c>
      <c r="D6" s="9" t="s">
        <v>30</v>
      </c>
      <c r="G6">
        <f>G4*G5</f>
        <v>4.4537400000000007</v>
      </c>
    </row>
    <row r="7" spans="1:7" x14ac:dyDescent="0.25">
      <c r="A7" t="s">
        <v>22</v>
      </c>
      <c r="B7" s="4">
        <f>B5*B6/1000</f>
        <v>173.47200000000001</v>
      </c>
      <c r="C7" t="s">
        <v>18</v>
      </c>
      <c r="D7" t="s">
        <v>37</v>
      </c>
    </row>
    <row r="8" spans="1:7" x14ac:dyDescent="0.25">
      <c r="A8" t="s">
        <v>26</v>
      </c>
      <c r="B8" s="4">
        <f>B4-B7</f>
        <v>44.527999999999992</v>
      </c>
      <c r="C8" t="s">
        <v>18</v>
      </c>
      <c r="D8" t="s">
        <v>36</v>
      </c>
    </row>
    <row r="9" spans="1:7" x14ac:dyDescent="0.25">
      <c r="A9" t="s">
        <v>27</v>
      </c>
      <c r="B9" s="5">
        <f>B7/B4</f>
        <v>0.79574311926605512</v>
      </c>
      <c r="D9" t="s">
        <v>29</v>
      </c>
    </row>
    <row r="10" spans="1:7" x14ac:dyDescent="0.25">
      <c r="A10" t="s">
        <v>39</v>
      </c>
      <c r="B10" s="7">
        <v>47.3</v>
      </c>
      <c r="C10" t="s">
        <v>38</v>
      </c>
      <c r="D10" t="s">
        <v>35</v>
      </c>
    </row>
    <row r="11" spans="1:7" x14ac:dyDescent="0.25">
      <c r="A11" t="s">
        <v>31</v>
      </c>
      <c r="B11" s="7">
        <v>10300</v>
      </c>
      <c r="C11" t="s">
        <v>40</v>
      </c>
      <c r="D11" t="s">
        <v>41</v>
      </c>
    </row>
    <row r="12" spans="1:7" x14ac:dyDescent="0.25">
      <c r="A12" t="s">
        <v>31</v>
      </c>
      <c r="B12" s="10">
        <f>B11*4.1855/1000</f>
        <v>43.11065</v>
      </c>
      <c r="C12" t="s">
        <v>38</v>
      </c>
      <c r="D12" t="s">
        <v>42</v>
      </c>
    </row>
    <row r="13" spans="1:7" x14ac:dyDescent="0.25">
      <c r="A13" t="s">
        <v>31</v>
      </c>
      <c r="B13" s="7">
        <v>43.92</v>
      </c>
      <c r="C13" t="s">
        <v>38</v>
      </c>
      <c r="D13" t="s">
        <v>151</v>
      </c>
    </row>
    <row r="14" spans="1:7" x14ac:dyDescent="0.25">
      <c r="A14" t="s">
        <v>32</v>
      </c>
      <c r="B14" s="8">
        <v>27</v>
      </c>
      <c r="C14" t="s">
        <v>38</v>
      </c>
      <c r="D14" t="s">
        <v>35</v>
      </c>
    </row>
    <row r="15" spans="1:7" x14ac:dyDescent="0.25">
      <c r="A15" t="s">
        <v>33</v>
      </c>
      <c r="B15" s="11">
        <f>B14/B12</f>
        <v>0.62629535857148988</v>
      </c>
    </row>
    <row r="16" spans="1:7" x14ac:dyDescent="0.25">
      <c r="B16" s="7">
        <f>B13/B14</f>
        <v>1.6266666666666667</v>
      </c>
      <c r="D16">
        <f>B16*4000</f>
        <v>6506.666666666667</v>
      </c>
    </row>
    <row r="17" spans="1:8" x14ac:dyDescent="0.25">
      <c r="A17" t="s">
        <v>44</v>
      </c>
      <c r="B17" s="7"/>
    </row>
    <row r="18" spans="1:8" x14ac:dyDescent="0.25">
      <c r="A18" t="s">
        <v>43</v>
      </c>
      <c r="B18" s="1"/>
    </row>
    <row r="19" spans="1:8" x14ac:dyDescent="0.25">
      <c r="B19" s="1"/>
      <c r="D19" s="6"/>
    </row>
    <row r="20" spans="1:8" x14ac:dyDescent="0.25">
      <c r="A20" t="s">
        <v>45</v>
      </c>
      <c r="B20" s="3"/>
    </row>
    <row r="21" spans="1:8" x14ac:dyDescent="0.25">
      <c r="A21" t="s">
        <v>46</v>
      </c>
    </row>
    <row r="22" spans="1:8" x14ac:dyDescent="0.25">
      <c r="A22" t="s">
        <v>47</v>
      </c>
      <c r="B22" s="1"/>
    </row>
    <row r="23" spans="1:8" x14ac:dyDescent="0.25">
      <c r="A23" t="s">
        <v>48</v>
      </c>
      <c r="B23" s="1"/>
      <c r="D23" s="6"/>
    </row>
    <row r="24" spans="1:8" x14ac:dyDescent="0.25">
      <c r="A24" t="s">
        <v>34</v>
      </c>
      <c r="B24" s="8"/>
      <c r="H24">
        <f>340*0.855*3.6</f>
        <v>1046.52</v>
      </c>
    </row>
    <row r="26" spans="1:8" x14ac:dyDescent="0.25">
      <c r="A26" s="2" t="s">
        <v>16</v>
      </c>
      <c r="H26">
        <f>900/3.6</f>
        <v>250</v>
      </c>
    </row>
    <row r="27" spans="1:8" x14ac:dyDescent="0.25">
      <c r="A27" t="s">
        <v>12</v>
      </c>
      <c r="H27">
        <f>21300/0.789</f>
        <v>26996.197718631178</v>
      </c>
    </row>
    <row r="28" spans="1:8" x14ac:dyDescent="0.25">
      <c r="A28" t="s">
        <v>0</v>
      </c>
      <c r="B28">
        <v>397000</v>
      </c>
      <c r="C28" t="s">
        <v>1</v>
      </c>
    </row>
    <row r="29" spans="1:8" x14ac:dyDescent="0.25">
      <c r="A29" t="s">
        <v>2</v>
      </c>
      <c r="B29" s="12">
        <v>250</v>
      </c>
      <c r="C29" t="s">
        <v>3</v>
      </c>
      <c r="D29" t="s">
        <v>69</v>
      </c>
      <c r="H29">
        <f>221/17</f>
        <v>13</v>
      </c>
    </row>
    <row r="30" spans="1:8" x14ac:dyDescent="0.25">
      <c r="A30" t="s">
        <v>4</v>
      </c>
      <c r="B30">
        <f>0.5*B28*B29^2</f>
        <v>12406250000</v>
      </c>
      <c r="C30" t="s">
        <v>5</v>
      </c>
    </row>
    <row r="31" spans="1:8" x14ac:dyDescent="0.25">
      <c r="A31" t="s">
        <v>6</v>
      </c>
      <c r="B31" s="2">
        <f>B30/1000000</f>
        <v>12406.25</v>
      </c>
      <c r="C31" t="s">
        <v>52</v>
      </c>
      <c r="D31" t="s">
        <v>56</v>
      </c>
    </row>
    <row r="32" spans="1:8" x14ac:dyDescent="0.25">
      <c r="A32" t="s">
        <v>67</v>
      </c>
      <c r="B32">
        <v>43.92</v>
      </c>
      <c r="C32" t="s">
        <v>38</v>
      </c>
    </row>
    <row r="33" spans="1:8" x14ac:dyDescent="0.25">
      <c r="A33" t="s">
        <v>65</v>
      </c>
      <c r="B33">
        <v>0.80259999999999998</v>
      </c>
      <c r="C33" t="s">
        <v>24</v>
      </c>
    </row>
    <row r="34" spans="1:8" x14ac:dyDescent="0.25">
      <c r="A34" t="s">
        <v>53</v>
      </c>
      <c r="B34">
        <f>B32*B33</f>
        <v>35.250191999999998</v>
      </c>
      <c r="C34" t="s">
        <v>66</v>
      </c>
    </row>
    <row r="35" spans="1:8" x14ac:dyDescent="0.25">
      <c r="A35" t="s">
        <v>7</v>
      </c>
      <c r="B35">
        <f>B31/B32</f>
        <v>282.4738160291439</v>
      </c>
      <c r="C35" t="s">
        <v>1</v>
      </c>
    </row>
    <row r="36" spans="1:8" x14ac:dyDescent="0.25">
      <c r="A36" t="s">
        <v>49</v>
      </c>
      <c r="B36" s="12">
        <v>0.3</v>
      </c>
    </row>
    <row r="37" spans="1:8" x14ac:dyDescent="0.25">
      <c r="A37" t="s">
        <v>7</v>
      </c>
      <c r="B37" s="12">
        <f>B35/B36</f>
        <v>941.57938676381309</v>
      </c>
      <c r="C37" t="s">
        <v>10</v>
      </c>
    </row>
    <row r="38" spans="1:8" x14ac:dyDescent="0.25">
      <c r="A38" t="s">
        <v>9</v>
      </c>
      <c r="B38" s="12">
        <f>B37/0.8</f>
        <v>1176.9742334547664</v>
      </c>
      <c r="C38" t="s">
        <v>11</v>
      </c>
      <c r="H38">
        <f>43.92*0.8026*0.3</f>
        <v>10.575057599999999</v>
      </c>
    </row>
    <row r="40" spans="1:8" x14ac:dyDescent="0.25">
      <c r="A40" t="s">
        <v>13</v>
      </c>
    </row>
    <row r="41" spans="1:8" x14ac:dyDescent="0.25">
      <c r="A41" t="s">
        <v>14</v>
      </c>
      <c r="B41">
        <f>B28*9.8*1/1000000</f>
        <v>3.8906000000000005</v>
      </c>
      <c r="C41" t="s">
        <v>54</v>
      </c>
    </row>
    <row r="42" spans="1:8" x14ac:dyDescent="0.25">
      <c r="A42" t="s">
        <v>15</v>
      </c>
      <c r="B42" s="2">
        <f>B41*10195</f>
        <v>39664.667000000009</v>
      </c>
      <c r="C42" t="s">
        <v>55</v>
      </c>
    </row>
    <row r="43" spans="1:8" x14ac:dyDescent="0.25">
      <c r="A43" t="s">
        <v>7</v>
      </c>
      <c r="B43">
        <f>B42/B32</f>
        <v>903.11172586520968</v>
      </c>
      <c r="C43" t="s">
        <v>50</v>
      </c>
    </row>
    <row r="44" spans="1:8" x14ac:dyDescent="0.25">
      <c r="A44" t="s">
        <v>8</v>
      </c>
      <c r="B44" s="12">
        <f>B36</f>
        <v>0.3</v>
      </c>
    </row>
    <row r="45" spans="1:8" x14ac:dyDescent="0.25">
      <c r="A45" t="s">
        <v>7</v>
      </c>
      <c r="B45" s="12">
        <f>B43/B44</f>
        <v>3010.3724195506989</v>
      </c>
      <c r="C45" t="s">
        <v>51</v>
      </c>
    </row>
    <row r="46" spans="1:8" x14ac:dyDescent="0.25">
      <c r="A46" t="s">
        <v>9</v>
      </c>
      <c r="B46" s="12">
        <f>B45/0.8</f>
        <v>3762.9655244383734</v>
      </c>
      <c r="C46" t="s">
        <v>11</v>
      </c>
    </row>
    <row r="48" spans="1:8" x14ac:dyDescent="0.25">
      <c r="A48" t="s">
        <v>57</v>
      </c>
      <c r="B48" s="2">
        <f>B31+B42</f>
        <v>52070.917000000009</v>
      </c>
      <c r="C48" t="s">
        <v>58</v>
      </c>
    </row>
    <row r="49" spans="1:4" x14ac:dyDescent="0.25">
      <c r="B49">
        <f>B48/1000</f>
        <v>52.070917000000009</v>
      </c>
      <c r="C49" t="s">
        <v>59</v>
      </c>
    </row>
    <row r="51" spans="1:4" x14ac:dyDescent="0.25">
      <c r="A51" t="s">
        <v>60</v>
      </c>
      <c r="B51" s="14">
        <v>17</v>
      </c>
    </row>
    <row r="52" spans="1:4" x14ac:dyDescent="0.25">
      <c r="A52" t="s">
        <v>61</v>
      </c>
      <c r="B52" s="14">
        <f>B29/B51*B28*9.81</f>
        <v>57273088.235294119</v>
      </c>
      <c r="C52" t="s">
        <v>62</v>
      </c>
    </row>
    <row r="53" spans="1:4" x14ac:dyDescent="0.25">
      <c r="B53">
        <f>B52/1000000</f>
        <v>57.273088235294118</v>
      </c>
      <c r="C53" t="s">
        <v>63</v>
      </c>
    </row>
    <row r="55" spans="1:4" x14ac:dyDescent="0.25">
      <c r="A55" t="s">
        <v>64</v>
      </c>
      <c r="B55">
        <f>B53/(B34*B36)</f>
        <v>5.4158653694041456</v>
      </c>
      <c r="C55" t="s">
        <v>68</v>
      </c>
      <c r="D55" t="s">
        <v>70</v>
      </c>
    </row>
    <row r="56" spans="1:4" x14ac:dyDescent="0.25">
      <c r="A56" t="s">
        <v>71</v>
      </c>
      <c r="B56">
        <v>6000</v>
      </c>
      <c r="C56" t="s">
        <v>72</v>
      </c>
    </row>
    <row r="57" spans="1:4" x14ac:dyDescent="0.25">
      <c r="A57" t="s">
        <v>77</v>
      </c>
      <c r="B57">
        <v>240</v>
      </c>
      <c r="C57" t="s">
        <v>3</v>
      </c>
    </row>
    <row r="58" spans="1:4" x14ac:dyDescent="0.25">
      <c r="A58" t="s">
        <v>73</v>
      </c>
      <c r="B58" s="1">
        <f>B56*1000/B57</f>
        <v>25000</v>
      </c>
      <c r="C58" t="s">
        <v>74</v>
      </c>
      <c r="D58">
        <f>33333/60/60</f>
        <v>9.2591666666666654</v>
      </c>
    </row>
    <row r="59" spans="1:4" x14ac:dyDescent="0.25">
      <c r="A59" t="s">
        <v>73</v>
      </c>
      <c r="B59" s="15">
        <f>B58/60/60</f>
        <v>6.9444444444444446</v>
      </c>
      <c r="C59" t="s">
        <v>79</v>
      </c>
    </row>
    <row r="60" spans="1:4" x14ac:dyDescent="0.25">
      <c r="B60" s="1"/>
    </row>
    <row r="61" spans="1:4" x14ac:dyDescent="0.25">
      <c r="A61" t="s">
        <v>75</v>
      </c>
      <c r="B61" s="1">
        <f>B55*B58</f>
        <v>135396.63423510364</v>
      </c>
      <c r="C61" t="s">
        <v>23</v>
      </c>
    </row>
    <row r="62" spans="1:4" x14ac:dyDescent="0.25">
      <c r="A62" t="s">
        <v>76</v>
      </c>
      <c r="B62" s="1">
        <v>216840</v>
      </c>
      <c r="C62" t="s">
        <v>78</v>
      </c>
    </row>
    <row r="63" spans="1:4" x14ac:dyDescent="0.25">
      <c r="A63" t="s">
        <v>80</v>
      </c>
      <c r="B63" s="16">
        <f>B61/B62</f>
        <v>0.62440801621058684</v>
      </c>
    </row>
    <row r="64" spans="1:4" x14ac:dyDescent="0.25">
      <c r="A64" t="s">
        <v>81</v>
      </c>
    </row>
    <row r="65" spans="1:2" x14ac:dyDescent="0.25">
      <c r="A65" t="s">
        <v>82</v>
      </c>
      <c r="B65" s="16">
        <f>(B62-B61)/B62</f>
        <v>0.37559198378941316</v>
      </c>
    </row>
  </sheetData>
  <pageMargins left="0.55000000000000004" right="0.28000000000000003" top="0.75" bottom="0.75" header="0.3" footer="0.3"/>
  <pageSetup scale="87" fitToHeight="0" orientation="portrait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36E4-1A85-499A-AABF-2876E1367CE4}">
  <dimension ref="A2:D20"/>
  <sheetViews>
    <sheetView workbookViewId="0">
      <selection activeCell="B20" sqref="B20"/>
    </sheetView>
  </sheetViews>
  <sheetFormatPr baseColWidth="10" defaultRowHeight="15" x14ac:dyDescent="0.25"/>
  <cols>
    <col min="1" max="1" width="36" customWidth="1"/>
  </cols>
  <sheetData>
    <row r="2" spans="1:3" x14ac:dyDescent="0.25">
      <c r="A2" t="s">
        <v>110</v>
      </c>
      <c r="B2" s="17">
        <v>275000</v>
      </c>
      <c r="C2" t="s">
        <v>111</v>
      </c>
    </row>
    <row r="3" spans="1:3" x14ac:dyDescent="0.25">
      <c r="A3" t="s">
        <v>112</v>
      </c>
      <c r="B3" s="17">
        <f>4*B2</f>
        <v>1100000</v>
      </c>
      <c r="C3" t="s">
        <v>111</v>
      </c>
    </row>
    <row r="4" spans="1:3" x14ac:dyDescent="0.25">
      <c r="A4" t="s">
        <v>113</v>
      </c>
      <c r="B4" s="17">
        <v>397000</v>
      </c>
      <c r="C4" t="s">
        <v>1</v>
      </c>
    </row>
    <row r="5" spans="1:3" x14ac:dyDescent="0.25">
      <c r="A5" t="s">
        <v>114</v>
      </c>
      <c r="B5" s="12">
        <f>B3/B4</f>
        <v>2.770780856423174</v>
      </c>
      <c r="C5" t="s">
        <v>115</v>
      </c>
    </row>
    <row r="6" spans="1:3" x14ac:dyDescent="0.25">
      <c r="A6" t="s">
        <v>124</v>
      </c>
      <c r="B6" s="12"/>
    </row>
    <row r="7" spans="1:3" x14ac:dyDescent="0.25">
      <c r="A7" t="s">
        <v>120</v>
      </c>
      <c r="B7" s="12">
        <v>1</v>
      </c>
      <c r="C7" t="s">
        <v>115</v>
      </c>
    </row>
    <row r="8" spans="1:3" x14ac:dyDescent="0.25">
      <c r="A8" t="s">
        <v>121</v>
      </c>
      <c r="B8" s="12">
        <v>290</v>
      </c>
      <c r="C8" t="s">
        <v>122</v>
      </c>
    </row>
    <row r="9" spans="1:3" x14ac:dyDescent="0.25">
      <c r="B9" s="12">
        <f>B8/3.6</f>
        <v>80.555555555555557</v>
      </c>
      <c r="C9" t="s">
        <v>123</v>
      </c>
    </row>
    <row r="10" spans="1:3" x14ac:dyDescent="0.25">
      <c r="A10" t="s">
        <v>116</v>
      </c>
      <c r="B10">
        <v>3000</v>
      </c>
      <c r="C10" t="s">
        <v>117</v>
      </c>
    </row>
    <row r="11" spans="1:3" x14ac:dyDescent="0.25">
      <c r="A11" t="s">
        <v>118</v>
      </c>
      <c r="B11">
        <f>B3*B10/1000000</f>
        <v>3300</v>
      </c>
      <c r="C11" t="s">
        <v>52</v>
      </c>
    </row>
    <row r="12" spans="1:3" x14ac:dyDescent="0.25">
      <c r="A12" t="s">
        <v>119</v>
      </c>
      <c r="B12">
        <v>80.56</v>
      </c>
      <c r="C12" t="s">
        <v>74</v>
      </c>
    </row>
    <row r="13" spans="1:3" x14ac:dyDescent="0.25">
      <c r="A13" t="s">
        <v>91</v>
      </c>
      <c r="B13" s="12">
        <f>B11/B12</f>
        <v>40.963257199602779</v>
      </c>
      <c r="C13" t="s">
        <v>63</v>
      </c>
    </row>
    <row r="14" spans="1:3" x14ac:dyDescent="0.25">
      <c r="A14" t="s">
        <v>53</v>
      </c>
      <c r="B14" s="12">
        <f>Feuil1!B34</f>
        <v>35.250191999999998</v>
      </c>
      <c r="C14" t="s">
        <v>66</v>
      </c>
    </row>
    <row r="15" spans="1:3" x14ac:dyDescent="0.25">
      <c r="A15" t="s">
        <v>94</v>
      </c>
      <c r="B15" s="16">
        <v>0.3</v>
      </c>
    </row>
    <row r="16" spans="1:3" x14ac:dyDescent="0.25">
      <c r="A16" t="s">
        <v>109</v>
      </c>
      <c r="B16" s="12">
        <f>B13/(B14*B15)</f>
        <v>3.8735729628179785</v>
      </c>
      <c r="C16" t="s">
        <v>68</v>
      </c>
    </row>
    <row r="17" spans="1:4" x14ac:dyDescent="0.25">
      <c r="A17" t="s">
        <v>75</v>
      </c>
      <c r="B17" s="17">
        <f>B16*B12</f>
        <v>312.05503788461635</v>
      </c>
      <c r="C17" t="s">
        <v>78</v>
      </c>
      <c r="D17" t="s">
        <v>148</v>
      </c>
    </row>
    <row r="19" spans="1:4" x14ac:dyDescent="0.25">
      <c r="A19" t="s">
        <v>149</v>
      </c>
      <c r="B19">
        <v>3000</v>
      </c>
      <c r="C19" t="s">
        <v>150</v>
      </c>
    </row>
    <row r="20" spans="1:4" x14ac:dyDescent="0.25">
      <c r="B20">
        <f>B19/0.8026</f>
        <v>3737.8519810615498</v>
      </c>
      <c r="C20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activeCell="B12" sqref="B12"/>
    </sheetView>
  </sheetViews>
  <sheetFormatPr baseColWidth="10" defaultRowHeight="15" x14ac:dyDescent="0.25"/>
  <cols>
    <col min="1" max="1" width="30.5703125" customWidth="1"/>
    <col min="2" max="2" width="14.42578125" customWidth="1"/>
  </cols>
  <sheetData>
    <row r="1" spans="1:3" x14ac:dyDescent="0.25">
      <c r="A1" t="s">
        <v>83</v>
      </c>
    </row>
    <row r="3" spans="1:3" x14ac:dyDescent="0.25">
      <c r="A3" t="s">
        <v>60</v>
      </c>
      <c r="B3">
        <v>17</v>
      </c>
      <c r="C3" t="s">
        <v>84</v>
      </c>
    </row>
    <row r="4" spans="1:3" x14ac:dyDescent="0.25">
      <c r="A4" t="s">
        <v>85</v>
      </c>
      <c r="B4">
        <v>80</v>
      </c>
      <c r="C4" t="s">
        <v>3</v>
      </c>
    </row>
    <row r="5" spans="1:3" x14ac:dyDescent="0.25">
      <c r="A5" t="s">
        <v>96</v>
      </c>
      <c r="B5">
        <v>250</v>
      </c>
      <c r="C5" t="s">
        <v>3</v>
      </c>
    </row>
    <row r="6" spans="1:3" x14ac:dyDescent="0.25">
      <c r="A6" t="s">
        <v>97</v>
      </c>
      <c r="B6">
        <f>(B5+B4)/2</f>
        <v>165</v>
      </c>
      <c r="C6" t="s">
        <v>99</v>
      </c>
    </row>
    <row r="7" spans="1:3" x14ac:dyDescent="0.25">
      <c r="A7" t="s">
        <v>98</v>
      </c>
      <c r="B7">
        <f>B6/B3</f>
        <v>9.7058823529411757</v>
      </c>
      <c r="C7" t="s">
        <v>86</v>
      </c>
    </row>
    <row r="8" spans="1:3" x14ac:dyDescent="0.25">
      <c r="A8" t="s">
        <v>87</v>
      </c>
      <c r="B8">
        <v>23</v>
      </c>
      <c r="C8" t="s">
        <v>88</v>
      </c>
    </row>
    <row r="9" spans="1:3" x14ac:dyDescent="0.25">
      <c r="A9" t="s">
        <v>87</v>
      </c>
      <c r="B9" s="17">
        <f>B8*60</f>
        <v>1380</v>
      </c>
      <c r="C9" t="s">
        <v>74</v>
      </c>
    </row>
    <row r="10" spans="1:3" x14ac:dyDescent="0.25">
      <c r="A10" t="s">
        <v>89</v>
      </c>
      <c r="B10" s="17">
        <v>10000</v>
      </c>
      <c r="C10" t="s">
        <v>0</v>
      </c>
    </row>
    <row r="11" spans="1:3" x14ac:dyDescent="0.25">
      <c r="A11" t="s">
        <v>90</v>
      </c>
      <c r="B11" s="13">
        <f>B10/B9</f>
        <v>7.2463768115942031</v>
      </c>
      <c r="C11" t="s">
        <v>3</v>
      </c>
    </row>
    <row r="12" spans="1:3" x14ac:dyDescent="0.25">
      <c r="A12" t="s">
        <v>92</v>
      </c>
      <c r="B12" s="13">
        <f>B7+B11</f>
        <v>16.952259164535377</v>
      </c>
      <c r="C12" t="s">
        <v>3</v>
      </c>
    </row>
    <row r="13" spans="1:3" x14ac:dyDescent="0.25">
      <c r="A13" t="s">
        <v>93</v>
      </c>
      <c r="B13" s="17">
        <v>397000</v>
      </c>
      <c r="C13" t="s">
        <v>1</v>
      </c>
    </row>
    <row r="14" spans="1:3" x14ac:dyDescent="0.25">
      <c r="B14" s="13"/>
    </row>
    <row r="15" spans="1:3" x14ac:dyDescent="0.25">
      <c r="A15" t="s">
        <v>91</v>
      </c>
      <c r="B15">
        <f>B12*9.81*B13</f>
        <v>66021759.974424548</v>
      </c>
      <c r="C15" t="s">
        <v>62</v>
      </c>
    </row>
    <row r="16" spans="1:3" x14ac:dyDescent="0.25">
      <c r="A16" t="s">
        <v>104</v>
      </c>
      <c r="B16" s="12">
        <f>B15/1000000</f>
        <v>66.021759974424555</v>
      </c>
      <c r="C16" t="s">
        <v>63</v>
      </c>
    </row>
    <row r="17" spans="1:3" x14ac:dyDescent="0.25">
      <c r="A17" t="s">
        <v>105</v>
      </c>
      <c r="B17" s="12">
        <f>(B4/$B$3+$B$11)*9.81*$B$13/1000000</f>
        <v>46.548909974424554</v>
      </c>
      <c r="C17" t="s">
        <v>107</v>
      </c>
    </row>
    <row r="18" spans="1:3" x14ac:dyDescent="0.25">
      <c r="A18" t="s">
        <v>106</v>
      </c>
      <c r="B18" s="12">
        <f>(B5/$B$3+$B$11)*9.81*$B$13/1000000</f>
        <v>85.494609974424534</v>
      </c>
      <c r="C18" t="s">
        <v>108</v>
      </c>
    </row>
    <row r="19" spans="1:3" x14ac:dyDescent="0.25">
      <c r="A19" t="s">
        <v>53</v>
      </c>
      <c r="B19" s="12">
        <f>Feuil1!B34</f>
        <v>35.250191999999998</v>
      </c>
      <c r="C19" t="s">
        <v>66</v>
      </c>
    </row>
    <row r="20" spans="1:3" x14ac:dyDescent="0.25">
      <c r="A20" t="s">
        <v>94</v>
      </c>
      <c r="B20" s="16">
        <v>0.3</v>
      </c>
    </row>
    <row r="21" spans="1:3" x14ac:dyDescent="0.25">
      <c r="A21" t="s">
        <v>109</v>
      </c>
      <c r="B21" s="12">
        <f>B16/(B19*B20)</f>
        <v>6.2431584272812435</v>
      </c>
      <c r="C21" t="s">
        <v>68</v>
      </c>
    </row>
    <row r="22" spans="1:3" x14ac:dyDescent="0.25">
      <c r="A22" t="s">
        <v>75</v>
      </c>
      <c r="B22" s="17">
        <f>B21*B9</f>
        <v>8615.558629648116</v>
      </c>
      <c r="C22" t="s">
        <v>78</v>
      </c>
    </row>
    <row r="25" spans="1:3" x14ac:dyDescent="0.25">
      <c r="A25" t="s">
        <v>145</v>
      </c>
      <c r="B25">
        <f>276000*4</f>
        <v>1104000</v>
      </c>
      <c r="C25" t="s">
        <v>111</v>
      </c>
    </row>
    <row r="26" spans="1:3" x14ac:dyDescent="0.25">
      <c r="A26" t="s">
        <v>146</v>
      </c>
      <c r="B26">
        <v>80</v>
      </c>
      <c r="C26" t="s">
        <v>3</v>
      </c>
    </row>
    <row r="27" spans="1:3" x14ac:dyDescent="0.25">
      <c r="A27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topLeftCell="A28" workbookViewId="0">
      <selection activeCell="A54" sqref="A54"/>
    </sheetView>
  </sheetViews>
  <sheetFormatPr baseColWidth="10" defaultRowHeight="15" x14ac:dyDescent="0.25"/>
  <cols>
    <col min="1" max="1" width="35.140625" customWidth="1"/>
    <col min="2" max="2" width="14.42578125" customWidth="1"/>
  </cols>
  <sheetData>
    <row r="1" spans="1:4" x14ac:dyDescent="0.25">
      <c r="A1" t="s">
        <v>100</v>
      </c>
    </row>
    <row r="3" spans="1:4" x14ac:dyDescent="0.25">
      <c r="A3" t="s">
        <v>60</v>
      </c>
      <c r="B3">
        <v>17</v>
      </c>
      <c r="C3" t="s">
        <v>84</v>
      </c>
    </row>
    <row r="4" spans="1:4" x14ac:dyDescent="0.25">
      <c r="A4" t="s">
        <v>101</v>
      </c>
      <c r="B4">
        <v>250</v>
      </c>
      <c r="C4" t="s">
        <v>99</v>
      </c>
    </row>
    <row r="5" spans="1:4" x14ac:dyDescent="0.25">
      <c r="A5" t="s">
        <v>98</v>
      </c>
      <c r="B5" s="12">
        <f>B4/B3</f>
        <v>14.705882352941176</v>
      </c>
      <c r="C5" t="s">
        <v>86</v>
      </c>
    </row>
    <row r="6" spans="1:4" x14ac:dyDescent="0.25">
      <c r="A6" t="s">
        <v>93</v>
      </c>
      <c r="B6" s="17">
        <v>397000</v>
      </c>
      <c r="C6" t="s">
        <v>1</v>
      </c>
    </row>
    <row r="7" spans="1:4" x14ac:dyDescent="0.25">
      <c r="B7" s="13"/>
    </row>
    <row r="8" spans="1:4" x14ac:dyDescent="0.25">
      <c r="A8" t="s">
        <v>91</v>
      </c>
      <c r="B8">
        <f>B5*9.81*B6</f>
        <v>57273088.235294111</v>
      </c>
      <c r="C8" t="s">
        <v>62</v>
      </c>
    </row>
    <row r="9" spans="1:4" x14ac:dyDescent="0.25">
      <c r="A9" t="s">
        <v>91</v>
      </c>
      <c r="B9" s="12">
        <f>B8/1000000</f>
        <v>57.273088235294111</v>
      </c>
      <c r="C9" t="s">
        <v>63</v>
      </c>
    </row>
    <row r="11" spans="1:4" x14ac:dyDescent="0.25">
      <c r="A11" t="s">
        <v>53</v>
      </c>
      <c r="B11" s="12">
        <f>Feuil1!B34</f>
        <v>35.250191999999998</v>
      </c>
      <c r="C11" t="s">
        <v>66</v>
      </c>
    </row>
    <row r="12" spans="1:4" x14ac:dyDescent="0.25">
      <c r="A12" t="s">
        <v>94</v>
      </c>
      <c r="B12" s="16">
        <v>0.3</v>
      </c>
    </row>
    <row r="13" spans="1:4" x14ac:dyDescent="0.25">
      <c r="A13" t="s">
        <v>95</v>
      </c>
      <c r="B13" s="12">
        <f>B9/(B11*B12)</f>
        <v>5.4158653694041456</v>
      </c>
      <c r="C13" t="s">
        <v>68</v>
      </c>
    </row>
    <row r="14" spans="1:4" x14ac:dyDescent="0.25">
      <c r="A14" t="s">
        <v>71</v>
      </c>
      <c r="B14" s="17">
        <v>6000</v>
      </c>
      <c r="C14" t="s">
        <v>72</v>
      </c>
    </row>
    <row r="15" spans="1:4" x14ac:dyDescent="0.25">
      <c r="A15" t="s">
        <v>77</v>
      </c>
      <c r="B15">
        <v>240</v>
      </c>
      <c r="C15" t="s">
        <v>3</v>
      </c>
    </row>
    <row r="16" spans="1:4" x14ac:dyDescent="0.25">
      <c r="A16" t="s">
        <v>73</v>
      </c>
      <c r="B16" s="17">
        <f>B14*1000/B15</f>
        <v>25000</v>
      </c>
      <c r="C16" t="s">
        <v>74</v>
      </c>
      <c r="D16">
        <f>33333/60/60</f>
        <v>9.2591666666666654</v>
      </c>
    </row>
    <row r="17" spans="1:3" x14ac:dyDescent="0.25">
      <c r="A17" t="s">
        <v>73</v>
      </c>
      <c r="B17" s="15">
        <f>B16/60/60</f>
        <v>6.9444444444444446</v>
      </c>
      <c r="C17" t="s">
        <v>79</v>
      </c>
    </row>
    <row r="18" spans="1:3" x14ac:dyDescent="0.25">
      <c r="B18" s="1"/>
    </row>
    <row r="19" spans="1:3" x14ac:dyDescent="0.25">
      <c r="A19" t="s">
        <v>75</v>
      </c>
      <c r="B19" s="17">
        <f>B13*B16</f>
        <v>135396.63423510364</v>
      </c>
      <c r="C19" t="s">
        <v>23</v>
      </c>
    </row>
    <row r="20" spans="1:3" x14ac:dyDescent="0.25">
      <c r="A20" t="s">
        <v>76</v>
      </c>
      <c r="B20" s="17">
        <v>216840</v>
      </c>
      <c r="C20" t="s">
        <v>78</v>
      </c>
    </row>
    <row r="21" spans="1:3" x14ac:dyDescent="0.25">
      <c r="A21" t="s">
        <v>80</v>
      </c>
      <c r="B21" s="16">
        <f>B19/B20</f>
        <v>0.62440801621058684</v>
      </c>
    </row>
    <row r="22" spans="1:3" x14ac:dyDescent="0.25">
      <c r="A22" t="s">
        <v>81</v>
      </c>
    </row>
    <row r="23" spans="1:3" x14ac:dyDescent="0.25">
      <c r="A23" t="s">
        <v>103</v>
      </c>
      <c r="B23" s="16">
        <f>(B20-B19)/B20</f>
        <v>0.37559198378941316</v>
      </c>
      <c r="C23" t="s">
        <v>102</v>
      </c>
    </row>
    <row r="25" spans="1:3" x14ac:dyDescent="0.25">
      <c r="A25" s="2" t="s">
        <v>125</v>
      </c>
    </row>
    <row r="26" spans="1:3" x14ac:dyDescent="0.25">
      <c r="A26" t="s">
        <v>134</v>
      </c>
    </row>
    <row r="27" spans="1:3" x14ac:dyDescent="0.25">
      <c r="A27" t="s">
        <v>132</v>
      </c>
      <c r="B27">
        <v>180</v>
      </c>
      <c r="C27" t="s">
        <v>126</v>
      </c>
    </row>
    <row r="28" spans="1:3" x14ac:dyDescent="0.25">
      <c r="A28" t="s">
        <v>127</v>
      </c>
      <c r="B28">
        <v>0.03</v>
      </c>
    </row>
    <row r="29" spans="1:3" x14ac:dyDescent="0.25">
      <c r="A29" t="s">
        <v>133</v>
      </c>
      <c r="B29">
        <v>0.4</v>
      </c>
      <c r="C29" t="s">
        <v>128</v>
      </c>
    </row>
    <row r="30" spans="1:3" x14ac:dyDescent="0.25">
      <c r="A30" t="s">
        <v>129</v>
      </c>
      <c r="B30">
        <v>250</v>
      </c>
      <c r="C30" t="s">
        <v>3</v>
      </c>
    </row>
    <row r="31" spans="1:3" x14ac:dyDescent="0.25">
      <c r="A31" t="s">
        <v>130</v>
      </c>
      <c r="B31" s="17">
        <f>0.5*B28*B27*B30^2</f>
        <v>168749.99999999997</v>
      </c>
      <c r="C31" t="s">
        <v>111</v>
      </c>
    </row>
    <row r="32" spans="1:3" x14ac:dyDescent="0.25">
      <c r="A32" t="s">
        <v>131</v>
      </c>
      <c r="B32" s="17">
        <f>B31*B30</f>
        <v>42187499.999999993</v>
      </c>
      <c r="C32" t="s">
        <v>62</v>
      </c>
    </row>
    <row r="33" spans="1:12" x14ac:dyDescent="0.25">
      <c r="B33">
        <f>B32/1000000</f>
        <v>42.187499999999993</v>
      </c>
      <c r="C33" t="s">
        <v>63</v>
      </c>
    </row>
    <row r="35" spans="1:12" x14ac:dyDescent="0.25">
      <c r="A35" t="s">
        <v>135</v>
      </c>
      <c r="B35">
        <v>0.04</v>
      </c>
      <c r="L35">
        <f>5*3600</f>
        <v>18000</v>
      </c>
    </row>
    <row r="36" spans="1:12" x14ac:dyDescent="0.25">
      <c r="A36" t="s">
        <v>136</v>
      </c>
      <c r="B36" s="17">
        <f>B27/B35</f>
        <v>4500</v>
      </c>
      <c r="C36" t="s">
        <v>126</v>
      </c>
    </row>
    <row r="37" spans="1:12" x14ac:dyDescent="0.25">
      <c r="A37" t="s">
        <v>137</v>
      </c>
      <c r="B37" s="17">
        <f>0.5*(B6*9.81)^2/(B29*B30^2*B36)</f>
        <v>67411.891044000004</v>
      </c>
      <c r="C37" t="s">
        <v>111</v>
      </c>
      <c r="D37" s="18">
        <f>B31+B37</f>
        <v>236161.89104399999</v>
      </c>
    </row>
    <row r="38" spans="1:12" x14ac:dyDescent="0.25">
      <c r="A38" t="s">
        <v>131</v>
      </c>
      <c r="B38" s="17">
        <f>B37*B30</f>
        <v>16852972.761</v>
      </c>
      <c r="C38" t="s">
        <v>62</v>
      </c>
      <c r="D38">
        <f>236000*250</f>
        <v>59000000</v>
      </c>
    </row>
    <row r="39" spans="1:12" x14ac:dyDescent="0.25">
      <c r="B39" s="12">
        <f>B38/1000000</f>
        <v>16.852972761</v>
      </c>
      <c r="C39" t="s">
        <v>63</v>
      </c>
      <c r="D39">
        <f>D38/1000000</f>
        <v>59</v>
      </c>
    </row>
    <row r="41" spans="1:12" x14ac:dyDescent="0.25">
      <c r="A41" t="s">
        <v>138</v>
      </c>
      <c r="B41" s="12">
        <f>B33+B39</f>
        <v>59.04047276099999</v>
      </c>
      <c r="C41" t="s">
        <v>63</v>
      </c>
    </row>
    <row r="42" spans="1:12" x14ac:dyDescent="0.25">
      <c r="A42" t="s">
        <v>139</v>
      </c>
    </row>
    <row r="44" spans="1:12" x14ac:dyDescent="0.25">
      <c r="A44" t="s">
        <v>140</v>
      </c>
      <c r="B44" s="19"/>
    </row>
    <row r="45" spans="1:12" x14ac:dyDescent="0.25">
      <c r="A45" t="s">
        <v>141</v>
      </c>
      <c r="B45" s="19">
        <f>B28*B46</f>
        <v>0.56999999999999995</v>
      </c>
    </row>
    <row r="46" spans="1:12" x14ac:dyDescent="0.25">
      <c r="A46" t="s">
        <v>142</v>
      </c>
      <c r="B46" s="17">
        <v>19</v>
      </c>
      <c r="C46" t="s">
        <v>143</v>
      </c>
    </row>
    <row r="47" spans="1:12" x14ac:dyDescent="0.25">
      <c r="A47" t="s">
        <v>133</v>
      </c>
      <c r="B47">
        <v>0.4</v>
      </c>
      <c r="C47" t="s">
        <v>128</v>
      </c>
    </row>
    <row r="48" spans="1:12" x14ac:dyDescent="0.25">
      <c r="A48" t="s">
        <v>129</v>
      </c>
      <c r="B48">
        <v>250</v>
      </c>
      <c r="C48" t="s">
        <v>3</v>
      </c>
    </row>
    <row r="49" spans="1:3" x14ac:dyDescent="0.25">
      <c r="A49" t="s">
        <v>130</v>
      </c>
      <c r="B49" s="17">
        <f>0.5*B45*B27*B48^2</f>
        <v>3206250</v>
      </c>
      <c r="C49" t="s">
        <v>111</v>
      </c>
    </row>
    <row r="50" spans="1:3" x14ac:dyDescent="0.25">
      <c r="A50" t="s">
        <v>131</v>
      </c>
      <c r="B50" s="17">
        <f>B49*B48</f>
        <v>801562500</v>
      </c>
      <c r="C50" t="s">
        <v>62</v>
      </c>
    </row>
    <row r="51" spans="1:3" x14ac:dyDescent="0.25">
      <c r="B51">
        <f>B50/1000000</f>
        <v>801.5625</v>
      </c>
      <c r="C51" t="s">
        <v>63</v>
      </c>
    </row>
    <row r="52" spans="1:3" x14ac:dyDescent="0.25">
      <c r="A52" t="s">
        <v>144</v>
      </c>
      <c r="B52" s="17">
        <f>397000*9.81</f>
        <v>3894570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Take-off</vt:lpstr>
      <vt:lpstr>Montée</vt:lpstr>
      <vt:lpstr>En vol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2020-01-08T15:09:42Z</cp:lastPrinted>
  <dcterms:created xsi:type="dcterms:W3CDTF">2010-02-01T01:03:19Z</dcterms:created>
  <dcterms:modified xsi:type="dcterms:W3CDTF">2020-08-27T22:57:31Z</dcterms:modified>
</cp:coreProperties>
</file>