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8h7-UFtEIKpyHy0PzUYElPsGsQfkLouC\1-SYS847\09-Rentabilité de l'énergie éolienne\04-Exercices\"/>
    </mc:Choice>
  </mc:AlternateContent>
  <xr:revisionPtr revIDLastSave="0" documentId="13_ncr:1_{32778CD3-818F-4570-8746-59074FF4DDFF}" xr6:coauthVersionLast="47" xr6:coauthVersionMax="47" xr10:uidLastSave="{00000000-0000-0000-0000-000000000000}"/>
  <bookViews>
    <workbookView xWindow="-108" yWindow="-108" windowWidth="23256" windowHeight="12576" activeTab="1" xr2:uid="{C8AAA9DE-CB8D-47F3-A0FC-0EFB47302089}"/>
  </bookViews>
  <sheets>
    <sheet name="Exercice 9.2" sheetId="3" r:id="rId1"/>
    <sheet name="Exercice 9.3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4" i="4"/>
  <c r="C31" i="3"/>
  <c r="J25" i="3"/>
  <c r="I25" i="3"/>
  <c r="J24" i="3"/>
  <c r="I24" i="3"/>
  <c r="J23" i="3"/>
  <c r="I23" i="3"/>
  <c r="J22" i="3"/>
  <c r="I22" i="3"/>
  <c r="J21" i="3"/>
  <c r="I21" i="3"/>
  <c r="J20" i="3"/>
  <c r="I20" i="3"/>
  <c r="C20" i="3"/>
  <c r="C21" i="3" s="1"/>
  <c r="C24" i="3" s="1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C10" i="3"/>
  <c r="M5" i="3" s="1"/>
  <c r="J9" i="3"/>
  <c r="I9" i="3"/>
  <c r="J8" i="3"/>
  <c r="I8" i="3"/>
  <c r="C8" i="3"/>
  <c r="C15" i="3" s="1"/>
  <c r="J7" i="3"/>
  <c r="I7" i="3"/>
  <c r="J6" i="3"/>
  <c r="I6" i="3"/>
  <c r="J4" i="4"/>
  <c r="C13" i="4"/>
  <c r="C6" i="4"/>
  <c r="E5" i="4"/>
  <c r="E6" i="4" s="1"/>
  <c r="F4" i="4"/>
  <c r="H4" i="4" s="1"/>
  <c r="H17" i="3" l="1"/>
  <c r="H7" i="3"/>
  <c r="H19" i="3"/>
  <c r="H14" i="3"/>
  <c r="H9" i="3"/>
  <c r="H12" i="3"/>
  <c r="H16" i="3"/>
  <c r="H11" i="3"/>
  <c r="H6" i="3"/>
  <c r="H18" i="3"/>
  <c r="H13" i="3"/>
  <c r="H8" i="3"/>
  <c r="H20" i="3"/>
  <c r="H15" i="3"/>
  <c r="H10" i="3"/>
  <c r="G22" i="3"/>
  <c r="K22" i="3" s="1"/>
  <c r="L22" i="3" s="1"/>
  <c r="G17" i="3"/>
  <c r="K17" i="3" s="1"/>
  <c r="L17" i="3" s="1"/>
  <c r="G12" i="3"/>
  <c r="K12" i="3" s="1"/>
  <c r="L12" i="3" s="1"/>
  <c r="G25" i="3"/>
  <c r="K25" i="3" s="1"/>
  <c r="L25" i="3" s="1"/>
  <c r="G7" i="3"/>
  <c r="K7" i="3" s="1"/>
  <c r="L7" i="3" s="1"/>
  <c r="G9" i="3"/>
  <c r="K9" i="3" s="1"/>
  <c r="L9" i="3" s="1"/>
  <c r="G20" i="3"/>
  <c r="K20" i="3" s="1"/>
  <c r="L20" i="3" s="1"/>
  <c r="G15" i="3"/>
  <c r="K15" i="3" s="1"/>
  <c r="L15" i="3" s="1"/>
  <c r="G21" i="3"/>
  <c r="K21" i="3" s="1"/>
  <c r="L21" i="3" s="1"/>
  <c r="G19" i="3"/>
  <c r="K19" i="3" s="1"/>
  <c r="L19" i="3" s="1"/>
  <c r="G14" i="3"/>
  <c r="G24" i="3"/>
  <c r="K24" i="3" s="1"/>
  <c r="L24" i="3" s="1"/>
  <c r="G16" i="3"/>
  <c r="K16" i="3" s="1"/>
  <c r="L16" i="3" s="1"/>
  <c r="G11" i="3"/>
  <c r="K11" i="3" s="1"/>
  <c r="L11" i="3" s="1"/>
  <c r="G10" i="3"/>
  <c r="K10" i="3" s="1"/>
  <c r="L10" i="3" s="1"/>
  <c r="G6" i="3"/>
  <c r="K6" i="3" s="1"/>
  <c r="L6" i="3" s="1"/>
  <c r="G18" i="3"/>
  <c r="K18" i="3" s="1"/>
  <c r="L18" i="3" s="1"/>
  <c r="G13" i="3"/>
  <c r="K13" i="3" s="1"/>
  <c r="L13" i="3" s="1"/>
  <c r="G8" i="3"/>
  <c r="G23" i="3"/>
  <c r="K23" i="3" s="1"/>
  <c r="L23" i="3" s="1"/>
  <c r="M6" i="3"/>
  <c r="N5" i="3"/>
  <c r="N6" i="3" s="1"/>
  <c r="Q6" i="3"/>
  <c r="F6" i="4"/>
  <c r="H6" i="4" s="1"/>
  <c r="J6" i="4" s="1"/>
  <c r="E7" i="4"/>
  <c r="F5" i="4"/>
  <c r="H5" i="4" s="1"/>
  <c r="J5" i="4" s="1"/>
  <c r="G4" i="4"/>
  <c r="M7" i="3" l="1"/>
  <c r="O6" i="3"/>
  <c r="P6" i="3" s="1"/>
  <c r="Q7" i="3" s="1"/>
  <c r="N7" i="3"/>
  <c r="K8" i="3"/>
  <c r="L8" i="3" s="1"/>
  <c r="K14" i="3"/>
  <c r="L14" i="3" s="1"/>
  <c r="G5" i="4"/>
  <c r="G6" i="4"/>
  <c r="F7" i="4"/>
  <c r="H7" i="4" s="1"/>
  <c r="J7" i="4" s="1"/>
  <c r="E8" i="4"/>
  <c r="O7" i="3" l="1"/>
  <c r="P7" i="3" s="1"/>
  <c r="Q8" i="3" s="1"/>
  <c r="N8" i="3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M8" i="3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E9" i="4"/>
  <c r="F8" i="4"/>
  <c r="H8" i="4" s="1"/>
  <c r="J8" i="4" s="1"/>
  <c r="G7" i="4"/>
  <c r="O8" i="3" l="1"/>
  <c r="P8" i="3" s="1"/>
  <c r="Q9" i="3" s="1"/>
  <c r="G8" i="4"/>
  <c r="F9" i="4"/>
  <c r="H9" i="4" s="1"/>
  <c r="J9" i="4" s="1"/>
  <c r="E10" i="4"/>
  <c r="O9" i="3" l="1"/>
  <c r="P9" i="3" s="1"/>
  <c r="Q10" i="3"/>
  <c r="E11" i="4"/>
  <c r="F10" i="4"/>
  <c r="H10" i="4" s="1"/>
  <c r="J10" i="4" s="1"/>
  <c r="G9" i="4"/>
  <c r="O10" i="3" l="1"/>
  <c r="P10" i="3" s="1"/>
  <c r="Q11" i="3" s="1"/>
  <c r="G10" i="4"/>
  <c r="F11" i="4"/>
  <c r="H11" i="4" s="1"/>
  <c r="J11" i="4" s="1"/>
  <c r="E12" i="4"/>
  <c r="G11" i="4"/>
  <c r="O11" i="3" l="1"/>
  <c r="P11" i="3" s="1"/>
  <c r="Q12" i="3" s="1"/>
  <c r="F12" i="4"/>
  <c r="H12" i="4" s="1"/>
  <c r="J12" i="4" s="1"/>
  <c r="E13" i="4"/>
  <c r="O12" i="3" l="1"/>
  <c r="P12" i="3" s="1"/>
  <c r="Q13" i="3"/>
  <c r="F13" i="4"/>
  <c r="H13" i="4" s="1"/>
  <c r="J13" i="4" s="1"/>
  <c r="E14" i="4"/>
  <c r="G12" i="4"/>
  <c r="O13" i="3" l="1"/>
  <c r="P13" i="3" s="1"/>
  <c r="Q14" i="3" s="1"/>
  <c r="F14" i="4"/>
  <c r="H14" i="4" s="1"/>
  <c r="J14" i="4" s="1"/>
  <c r="E15" i="4"/>
  <c r="G13" i="4"/>
  <c r="O14" i="3" l="1"/>
  <c r="P14" i="3" s="1"/>
  <c r="Q15" i="3"/>
  <c r="E16" i="4"/>
  <c r="F15" i="4"/>
  <c r="H15" i="4" s="1"/>
  <c r="J15" i="4" s="1"/>
  <c r="G14" i="4"/>
  <c r="O15" i="3" l="1"/>
  <c r="P15" i="3" s="1"/>
  <c r="Q16" i="3" s="1"/>
  <c r="G15" i="4"/>
  <c r="E17" i="4"/>
  <c r="F16" i="4"/>
  <c r="H16" i="4" s="1"/>
  <c r="J16" i="4" s="1"/>
  <c r="O16" i="3" l="1"/>
  <c r="P16" i="3" s="1"/>
  <c r="Q17" i="3"/>
  <c r="G16" i="4"/>
  <c r="F17" i="4"/>
  <c r="H17" i="4" s="1"/>
  <c r="J17" i="4" s="1"/>
  <c r="E18" i="4"/>
  <c r="O17" i="3" l="1"/>
  <c r="P17" i="3" s="1"/>
  <c r="Q18" i="3"/>
  <c r="F18" i="4"/>
  <c r="H18" i="4" s="1"/>
  <c r="J18" i="4" s="1"/>
  <c r="E19" i="4"/>
  <c r="G17" i="4"/>
  <c r="O18" i="3" l="1"/>
  <c r="P18" i="3" s="1"/>
  <c r="Q19" i="3" s="1"/>
  <c r="E20" i="4"/>
  <c r="F19" i="4"/>
  <c r="H19" i="4" s="1"/>
  <c r="J19" i="4" s="1"/>
  <c r="G18" i="4"/>
  <c r="O19" i="3" l="1"/>
  <c r="P19" i="3" s="1"/>
  <c r="Q20" i="3"/>
  <c r="G19" i="4"/>
  <c r="E21" i="4"/>
  <c r="F20" i="4"/>
  <c r="H20" i="4" s="1"/>
  <c r="J20" i="4" s="1"/>
  <c r="O20" i="3" l="1"/>
  <c r="P20" i="3" s="1"/>
  <c r="Q21" i="3" s="1"/>
  <c r="G20" i="4"/>
  <c r="F21" i="4"/>
  <c r="H21" i="4" s="1"/>
  <c r="J21" i="4" s="1"/>
  <c r="E22" i="4"/>
  <c r="O21" i="3" l="1"/>
  <c r="P21" i="3" s="1"/>
  <c r="Q22" i="3" s="1"/>
  <c r="E23" i="4"/>
  <c r="F22" i="4"/>
  <c r="H22" i="4" s="1"/>
  <c r="J22" i="4" s="1"/>
  <c r="G21" i="4"/>
  <c r="O22" i="3" l="1"/>
  <c r="P22" i="3" s="1"/>
  <c r="Q23" i="3" s="1"/>
  <c r="G22" i="4"/>
  <c r="E24" i="4"/>
  <c r="F23" i="4"/>
  <c r="H23" i="4" s="1"/>
  <c r="J23" i="4" s="1"/>
  <c r="O23" i="3" l="1"/>
  <c r="P23" i="3" s="1"/>
  <c r="Q24" i="3" s="1"/>
  <c r="G23" i="4"/>
  <c r="F24" i="4"/>
  <c r="H24" i="4" s="1"/>
  <c r="J24" i="4" s="1"/>
  <c r="E25" i="4"/>
  <c r="O24" i="3" l="1"/>
  <c r="P24" i="3" s="1"/>
  <c r="Q25" i="3" s="1"/>
  <c r="O25" i="3" s="1"/>
  <c r="P25" i="3" s="1"/>
  <c r="F25" i="4"/>
  <c r="H25" i="4" s="1"/>
  <c r="J25" i="4" s="1"/>
  <c r="E26" i="4"/>
  <c r="G24" i="4"/>
  <c r="F26" i="4" l="1"/>
  <c r="H26" i="4" s="1"/>
  <c r="J26" i="4" s="1"/>
  <c r="E27" i="4"/>
  <c r="G25" i="4"/>
  <c r="E28" i="4" l="1"/>
  <c r="F27" i="4"/>
  <c r="H27" i="4" s="1"/>
  <c r="J27" i="4" s="1"/>
  <c r="G26" i="4"/>
  <c r="G27" i="4" l="1"/>
  <c r="F28" i="4"/>
  <c r="H28" i="4" s="1"/>
  <c r="J28" i="4" s="1"/>
  <c r="E29" i="4"/>
  <c r="G28" i="4"/>
  <c r="F29" i="4" l="1"/>
  <c r="H29" i="4" s="1"/>
  <c r="J29" i="4" s="1"/>
  <c r="E30" i="4"/>
  <c r="F30" i="4" l="1"/>
  <c r="H30" i="4" s="1"/>
  <c r="J30" i="4" s="1"/>
  <c r="C10" i="4" s="1"/>
  <c r="G29" i="4"/>
  <c r="C12" i="4" l="1"/>
  <c r="C15" i="4" s="1"/>
  <c r="G30" i="4"/>
  <c r="C7" i="4" s="1"/>
</calcChain>
</file>

<file path=xl/sharedStrings.xml><?xml version="1.0" encoding="utf-8"?>
<sst xmlns="http://schemas.openxmlformats.org/spreadsheetml/2006/main" count="58" uniqueCount="57">
  <si>
    <t>Année</t>
  </si>
  <si>
    <t>Economies carburant</t>
  </si>
  <si>
    <t>Paiement annuel</t>
  </si>
  <si>
    <t xml:space="preserve">Assurance </t>
  </si>
  <si>
    <t>Maintenance</t>
  </si>
  <si>
    <t xml:space="preserve">Economies </t>
  </si>
  <si>
    <t xml:space="preserve">Economies actualisées </t>
  </si>
  <si>
    <t xml:space="preserve">Economies cummulées </t>
  </si>
  <si>
    <t xml:space="preserve">Economies cumulées actualisées </t>
  </si>
  <si>
    <t>Intérêts</t>
  </si>
  <si>
    <t>Capital</t>
  </si>
  <si>
    <t xml:space="preserve">Reste à payer </t>
  </si>
  <si>
    <t>Production annuelle (MWh)</t>
  </si>
  <si>
    <t>Informations générales</t>
  </si>
  <si>
    <t>Remplacement combustible</t>
  </si>
  <si>
    <t>Coût en capital ($)</t>
  </si>
  <si>
    <t>Capcité installée (MW)</t>
  </si>
  <si>
    <t>Taux d'actualisation (%)</t>
  </si>
  <si>
    <t>Taux d'intérêt (%)</t>
  </si>
  <si>
    <t>Facteur de charge (%)</t>
  </si>
  <si>
    <t>Assurances et maintenance</t>
  </si>
  <si>
    <t>Assurance par année ($)</t>
  </si>
  <si>
    <t>Investissement initial (%)</t>
  </si>
  <si>
    <t>Investissement initial ($)</t>
  </si>
  <si>
    <t>Coût initial ($/kW)</t>
  </si>
  <si>
    <t>Coût annuel de maintenance ($/kW)</t>
  </si>
  <si>
    <t>Maintenance par année ($)</t>
  </si>
  <si>
    <t>Augmentation du prix du combustible (%)</t>
  </si>
  <si>
    <t>Taux de rendement interne (TRI)</t>
  </si>
  <si>
    <t>TRI (%)</t>
  </si>
  <si>
    <t>Pour voir l'impact du TRI, remplacez la valeur du taux d'actualisation par la TRI et observez l'impact sur la VAN.</t>
  </si>
  <si>
    <t>Calcul de la production annuelle d'une éolienne</t>
  </si>
  <si>
    <t>Vitesse du vent</t>
  </si>
  <si>
    <t>Densité de probabilité</t>
  </si>
  <si>
    <t>Produit vit*probab</t>
  </si>
  <si>
    <t>Nombre d'heures annuelement</t>
  </si>
  <si>
    <t>Courbe de puissance (kW) (donnée)</t>
  </si>
  <si>
    <t>Production annuelle (kWh)</t>
  </si>
  <si>
    <t>Facteur de forme</t>
  </si>
  <si>
    <t>Facteur d'échelle</t>
  </si>
  <si>
    <t>Vitesse moyenne sur le site (m/s)</t>
  </si>
  <si>
    <t>Production annuelle ($)</t>
  </si>
  <si>
    <t>Période de retour sur investissement (ans)</t>
  </si>
  <si>
    <t>Durée de vie (ans)</t>
  </si>
  <si>
    <t>Années de prêt (ans)</t>
  </si>
  <si>
    <t>Economies carburant ($)</t>
  </si>
  <si>
    <t>Augmentation assurance (%)</t>
  </si>
  <si>
    <t>Augmentation maintenance (%)</t>
  </si>
  <si>
    <t>Paiement annuel ($)</t>
  </si>
  <si>
    <t>Nombre d'heures par année (h)</t>
  </si>
  <si>
    <t>Nombre d'heures de fonctionnement (h)</t>
  </si>
  <si>
    <t>Nombre d'heures dans une année (h)</t>
  </si>
  <si>
    <t>Tarif de vente d'un kWh d'énergie ($)</t>
  </si>
  <si>
    <t>Coût d'investissement ($)</t>
  </si>
  <si>
    <t>Coût d'entretien annuel ($)</t>
  </si>
  <si>
    <t>Litres fioul par MWh (L)</t>
  </si>
  <si>
    <t>Coût litre fioul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</si>
</sst>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0"/>
    <numFmt numFmtId="165" formatCode="0.0"/>
    <numFmt numFmtId="166" formatCode="#,##0.00\ &quot;$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/>
    <xf numFmtId="10" fontId="0" fillId="0" borderId="1" xfId="0" applyNumberForma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10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Densité de probabilité / Courbe de puissance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Courbe de puissance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'Exercice 9.3'!$E$4:$E$30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xVal>
          <c:yVal>
            <c:numRef>
              <c:f>'Exercice 9.3'!$I$4:$I$30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4.5</c:v>
                </c:pt>
                <c:pt idx="7">
                  <c:v>7.5</c:v>
                </c:pt>
                <c:pt idx="8">
                  <c:v>10.5</c:v>
                </c:pt>
                <c:pt idx="9">
                  <c:v>13.5</c:v>
                </c:pt>
                <c:pt idx="10">
                  <c:v>16.5</c:v>
                </c:pt>
                <c:pt idx="11">
                  <c:v>19.5</c:v>
                </c:pt>
                <c:pt idx="12">
                  <c:v>22.5</c:v>
                </c:pt>
                <c:pt idx="13">
                  <c:v>25.5</c:v>
                </c:pt>
                <c:pt idx="14">
                  <c:v>28.5</c:v>
                </c:pt>
                <c:pt idx="15">
                  <c:v>31.5</c:v>
                </c:pt>
                <c:pt idx="16">
                  <c:v>34.5</c:v>
                </c:pt>
                <c:pt idx="17">
                  <c:v>37.5</c:v>
                </c:pt>
                <c:pt idx="18">
                  <c:v>37.5</c:v>
                </c:pt>
                <c:pt idx="19">
                  <c:v>37.5</c:v>
                </c:pt>
                <c:pt idx="20">
                  <c:v>37.5</c:v>
                </c:pt>
                <c:pt idx="21">
                  <c:v>37.5</c:v>
                </c:pt>
                <c:pt idx="22">
                  <c:v>37.5</c:v>
                </c:pt>
                <c:pt idx="23">
                  <c:v>37.5</c:v>
                </c:pt>
                <c:pt idx="24">
                  <c:v>37.5</c:v>
                </c:pt>
                <c:pt idx="25">
                  <c:v>37.5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71-434F-A2AB-5D4D1B031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413871"/>
        <c:axId val="49422607"/>
      </c:scatterChart>
      <c:scatterChart>
        <c:scatterStyle val="lineMarker"/>
        <c:varyColors val="0"/>
        <c:ser>
          <c:idx val="0"/>
          <c:order val="0"/>
          <c:tx>
            <c:v>Densité de probabilité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'Exercice 9.3'!$E$4:$E$30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xVal>
          <c:yVal>
            <c:numRef>
              <c:f>'Exercice 9.3'!$F$4:$F$30</c:f>
              <c:numCache>
                <c:formatCode>0.000</c:formatCode>
                <c:ptCount val="27"/>
                <c:pt idx="0">
                  <c:v>0</c:v>
                </c:pt>
                <c:pt idx="1">
                  <c:v>3.0765513656419028E-2</c:v>
                </c:pt>
                <c:pt idx="2">
                  <c:v>5.8713316425842266E-2</c:v>
                </c:pt>
                <c:pt idx="3">
                  <c:v>8.1451411524641595E-2</c:v>
                </c:pt>
                <c:pt idx="4">
                  <c:v>9.7350097883925651E-2</c:v>
                </c:pt>
                <c:pt idx="5">
                  <c:v>0.10572403846277019</c:v>
                </c:pt>
                <c:pt idx="6">
                  <c:v>0.10683427963704811</c:v>
                </c:pt>
                <c:pt idx="7">
                  <c:v>0.10172819740432484</c:v>
                </c:pt>
                <c:pt idx="8">
                  <c:v>9.1969860292860597E-2</c:v>
                </c:pt>
                <c:pt idx="9">
                  <c:v>7.9330205163885642E-2</c:v>
                </c:pt>
                <c:pt idx="10">
                  <c:v>6.5503558484718116E-2</c:v>
                </c:pt>
                <c:pt idx="11">
                  <c:v>5.189848759422068E-2</c:v>
                </c:pt>
                <c:pt idx="12">
                  <c:v>3.9524709210699144E-2</c:v>
                </c:pt>
                <c:pt idx="13">
                  <c:v>2.8972402345964213E-2</c:v>
                </c:pt>
                <c:pt idx="14">
                  <c:v>2.0462147292982059E-2</c:v>
                </c:pt>
                <c:pt idx="15">
                  <c:v>1.3935570181011927E-2</c:v>
                </c:pt>
                <c:pt idx="16">
                  <c:v>9.1578194443670928E-3</c:v>
                </c:pt>
                <c:pt idx="17">
                  <c:v>5.8101577400088908E-3</c:v>
                </c:pt>
                <c:pt idx="18">
                  <c:v>3.5604649279607332E-3</c:v>
                </c:pt>
                <c:pt idx="19">
                  <c:v>2.1081975808627581E-3</c:v>
                </c:pt>
                <c:pt idx="20">
                  <c:v>1.2065338351423176E-3</c:v>
                </c:pt>
                <c:pt idx="21">
                  <c:v>6.6758858487214767E-4</c:v>
                </c:pt>
                <c:pt idx="22">
                  <c:v>3.5720759398145203E-4</c:v>
                </c:pt>
                <c:pt idx="23">
                  <c:v>1.8486833538797838E-4</c:v>
                </c:pt>
                <c:pt idx="24">
                  <c:v>9.2557353065009549E-5</c:v>
                </c:pt>
                <c:pt idx="25">
                  <c:v>4.4836631827709973E-5</c:v>
                </c:pt>
                <c:pt idx="26">
                  <c:v>2.1017831430906449E-5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71-434F-A2AB-5D4D1B031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367039"/>
        <c:axId val="221372447"/>
      </c:scatterChart>
      <c:valAx>
        <c:axId val="4941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 du vent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22607"/>
        <c:crosses val="autoZero"/>
        <c:crossBetween val="midCat"/>
      </c:valAx>
      <c:valAx>
        <c:axId val="4942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Courbe de puissance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13871"/>
        <c:crosses val="autoZero"/>
        <c:crossBetween val="midCat"/>
      </c:valAx>
      <c:valAx>
        <c:axId val="2213724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Densité de probabilité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367039"/>
        <c:crosses val="max"/>
        <c:crossBetween val="midCat"/>
      </c:valAx>
      <c:valAx>
        <c:axId val="221367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3724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Densité de probabilité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Heures annnuellement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'Exercice 9.3'!$E$4:$E$30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cat>
          <c:val>
            <c:numRef>
              <c:f>'Exercice 9.3'!$H$4:$H$30</c:f>
              <c:numCache>
                <c:formatCode>0</c:formatCode>
                <c:ptCount val="27"/>
                <c:pt idx="0">
                  <c:v>0</c:v>
                </c:pt>
                <c:pt idx="1">
                  <c:v>269.50589963023066</c:v>
                </c:pt>
                <c:pt idx="2">
                  <c:v>514.3286518903783</c:v>
                </c:pt>
                <c:pt idx="3">
                  <c:v>713.5143649558604</c:v>
                </c:pt>
                <c:pt idx="4">
                  <c:v>852.78685746318865</c:v>
                </c:pt>
                <c:pt idx="5">
                  <c:v>926.14257693386685</c:v>
                </c:pt>
                <c:pt idx="6">
                  <c:v>935.86828962054142</c:v>
                </c:pt>
                <c:pt idx="7">
                  <c:v>891.13900926188558</c:v>
                </c:pt>
                <c:pt idx="8">
                  <c:v>805.65597616545881</c:v>
                </c:pt>
                <c:pt idx="9">
                  <c:v>694.93259723563824</c:v>
                </c:pt>
                <c:pt idx="10">
                  <c:v>573.81117232613065</c:v>
                </c:pt>
                <c:pt idx="11">
                  <c:v>454.63075132537313</c:v>
                </c:pt>
                <c:pt idx="12">
                  <c:v>346.23645268572449</c:v>
                </c:pt>
                <c:pt idx="13">
                  <c:v>253.7982445506465</c:v>
                </c:pt>
                <c:pt idx="14">
                  <c:v>179.24841028652284</c:v>
                </c:pt>
                <c:pt idx="15">
                  <c:v>122.07559478566448</c:v>
                </c:pt>
                <c:pt idx="16">
                  <c:v>80.222498332655732</c:v>
                </c:pt>
                <c:pt idx="17">
                  <c:v>50.896981802477882</c:v>
                </c:pt>
                <c:pt idx="18">
                  <c:v>31.189672768936024</c:v>
                </c:pt>
                <c:pt idx="19">
                  <c:v>18.467810808357761</c:v>
                </c:pt>
                <c:pt idx="20">
                  <c:v>10.569236395846701</c:v>
                </c:pt>
                <c:pt idx="21">
                  <c:v>5.8480760034800134</c:v>
                </c:pt>
                <c:pt idx="22">
                  <c:v>3.1291385232775197</c:v>
                </c:pt>
                <c:pt idx="23">
                  <c:v>1.6194466179986906</c:v>
                </c:pt>
                <c:pt idx="24">
                  <c:v>0.81080241284948362</c:v>
                </c:pt>
                <c:pt idx="25">
                  <c:v>0.39276889481073934</c:v>
                </c:pt>
                <c:pt idx="26">
                  <c:v>0.18411620333474049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5-42FE-8D8A-8A3BD7D9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3871"/>
        <c:axId val="49422607"/>
      </c:barChart>
      <c:lineChart>
        <c:grouping val="stacked"/>
        <c:varyColors val="0"/>
        <c:ser>
          <c:idx val="0"/>
          <c:order val="0"/>
          <c:tx>
            <c:v>Densité de probabilité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'[1]Exercice 9.4'!$E$4:$E$30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cat>
          <c:val>
            <c:numRef>
              <c:f>'Exercice 9.3'!$F$4:$F$30</c:f>
              <c:numCache>
                <c:formatCode>0.000</c:formatCode>
                <c:ptCount val="27"/>
                <c:pt idx="0">
                  <c:v>0</c:v>
                </c:pt>
                <c:pt idx="1">
                  <c:v>3.0765513656419028E-2</c:v>
                </c:pt>
                <c:pt idx="2">
                  <c:v>5.8713316425842266E-2</c:v>
                </c:pt>
                <c:pt idx="3">
                  <c:v>8.1451411524641595E-2</c:v>
                </c:pt>
                <c:pt idx="4">
                  <c:v>9.7350097883925651E-2</c:v>
                </c:pt>
                <c:pt idx="5">
                  <c:v>0.10572403846277019</c:v>
                </c:pt>
                <c:pt idx="6">
                  <c:v>0.10683427963704811</c:v>
                </c:pt>
                <c:pt idx="7">
                  <c:v>0.10172819740432484</c:v>
                </c:pt>
                <c:pt idx="8">
                  <c:v>9.1969860292860597E-2</c:v>
                </c:pt>
                <c:pt idx="9">
                  <c:v>7.9330205163885642E-2</c:v>
                </c:pt>
                <c:pt idx="10">
                  <c:v>6.5503558484718116E-2</c:v>
                </c:pt>
                <c:pt idx="11">
                  <c:v>5.189848759422068E-2</c:v>
                </c:pt>
                <c:pt idx="12">
                  <c:v>3.9524709210699144E-2</c:v>
                </c:pt>
                <c:pt idx="13">
                  <c:v>2.8972402345964213E-2</c:v>
                </c:pt>
                <c:pt idx="14">
                  <c:v>2.0462147292982059E-2</c:v>
                </c:pt>
                <c:pt idx="15">
                  <c:v>1.3935570181011927E-2</c:v>
                </c:pt>
                <c:pt idx="16">
                  <c:v>9.1578194443670928E-3</c:v>
                </c:pt>
                <c:pt idx="17">
                  <c:v>5.8101577400088908E-3</c:v>
                </c:pt>
                <c:pt idx="18">
                  <c:v>3.5604649279607332E-3</c:v>
                </c:pt>
                <c:pt idx="19">
                  <c:v>2.1081975808627581E-3</c:v>
                </c:pt>
                <c:pt idx="20">
                  <c:v>1.2065338351423176E-3</c:v>
                </c:pt>
                <c:pt idx="21">
                  <c:v>6.6758858487214767E-4</c:v>
                </c:pt>
                <c:pt idx="22">
                  <c:v>3.5720759398145203E-4</c:v>
                </c:pt>
                <c:pt idx="23">
                  <c:v>1.8486833538797838E-4</c:v>
                </c:pt>
                <c:pt idx="24">
                  <c:v>9.2557353065009549E-5</c:v>
                </c:pt>
                <c:pt idx="25">
                  <c:v>4.4836631827709973E-5</c:v>
                </c:pt>
                <c:pt idx="26">
                  <c:v>2.1017831430906449E-5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5-42FE-8D8A-8A3BD7D9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27679"/>
        <c:axId val="361528095"/>
      </c:lineChart>
      <c:catAx>
        <c:axId val="49413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Vitesse du vent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22607"/>
        <c:crosses val="autoZero"/>
        <c:auto val="1"/>
        <c:lblAlgn val="ctr"/>
        <c:lblOffset val="100"/>
        <c:noMultiLvlLbl val="0"/>
      </c:catAx>
      <c:valAx>
        <c:axId val="4942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Heures annuelles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413871"/>
        <c:crosses val="autoZero"/>
        <c:crossBetween val="between"/>
      </c:valAx>
      <c:valAx>
        <c:axId val="36152809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Densité de probabilité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527679"/>
        <c:crosses val="max"/>
        <c:crossBetween val="between"/>
      </c:valAx>
      <c:catAx>
        <c:axId val="361527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15280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2</xdr:row>
      <xdr:rowOff>15240</xdr:rowOff>
    </xdr:from>
    <xdr:to>
      <xdr:col>19</xdr:col>
      <xdr:colOff>106680</xdr:colOff>
      <xdr:row>20</xdr:row>
      <xdr:rowOff>80010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251550F-9A59-4FCC-A9CB-C732AB4B8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21</xdr:row>
      <xdr:rowOff>0</xdr:rowOff>
    </xdr:from>
    <xdr:to>
      <xdr:col>18</xdr:col>
      <xdr:colOff>784860</xdr:colOff>
      <xdr:row>42</xdr:row>
      <xdr:rowOff>64770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096A803-0BA0-43CC-8E00-1EEE3509C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rrection%20exercice%209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rcice 9.4"/>
    </sheetNames>
    <sheetDataSet>
      <sheetData sheetId="0">
        <row r="4">
          <cell r="E4">
            <v>0</v>
          </cell>
        </row>
        <row r="5">
          <cell r="E5">
            <v>1</v>
          </cell>
        </row>
        <row r="6">
          <cell r="E6">
            <v>2</v>
          </cell>
        </row>
        <row r="7">
          <cell r="E7">
            <v>3</v>
          </cell>
        </row>
        <row r="8">
          <cell r="E8">
            <v>4</v>
          </cell>
        </row>
        <row r="9">
          <cell r="E9">
            <v>5</v>
          </cell>
        </row>
        <row r="10">
          <cell r="E10">
            <v>6</v>
          </cell>
        </row>
        <row r="11">
          <cell r="E11">
            <v>7</v>
          </cell>
        </row>
        <row r="12">
          <cell r="E12">
            <v>8</v>
          </cell>
        </row>
        <row r="13">
          <cell r="E13">
            <v>9</v>
          </cell>
        </row>
        <row r="14">
          <cell r="E14">
            <v>10</v>
          </cell>
        </row>
        <row r="15">
          <cell r="E15">
            <v>11</v>
          </cell>
        </row>
        <row r="16">
          <cell r="E16">
            <v>12</v>
          </cell>
        </row>
        <row r="17">
          <cell r="E17">
            <v>13</v>
          </cell>
        </row>
        <row r="18">
          <cell r="E18">
            <v>14</v>
          </cell>
        </row>
        <row r="19">
          <cell r="E19">
            <v>15</v>
          </cell>
        </row>
        <row r="20">
          <cell r="E20">
            <v>16</v>
          </cell>
        </row>
        <row r="21">
          <cell r="E21">
            <v>17</v>
          </cell>
        </row>
        <row r="22">
          <cell r="E22">
            <v>18</v>
          </cell>
        </row>
        <row r="23">
          <cell r="E23">
            <v>19</v>
          </cell>
        </row>
        <row r="24">
          <cell r="E24">
            <v>20</v>
          </cell>
        </row>
        <row r="25">
          <cell r="E25">
            <v>21</v>
          </cell>
        </row>
        <row r="26">
          <cell r="E26">
            <v>22</v>
          </cell>
        </row>
        <row r="27">
          <cell r="E27">
            <v>23</v>
          </cell>
        </row>
        <row r="28">
          <cell r="E28">
            <v>24</v>
          </cell>
        </row>
        <row r="29">
          <cell r="E29">
            <v>25</v>
          </cell>
        </row>
        <row r="30">
          <cell r="E30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7D08-6EFD-4391-A8D3-B48262D27EE7}">
  <dimension ref="B4:Q38"/>
  <sheetViews>
    <sheetView topLeftCell="D1" zoomScaleNormal="100" workbookViewId="0">
      <selection activeCell="F34" sqref="F34"/>
    </sheetView>
  </sheetViews>
  <sheetFormatPr baseColWidth="10" defaultRowHeight="14.4" x14ac:dyDescent="0.3"/>
  <cols>
    <col min="2" max="2" width="41.21875" customWidth="1"/>
    <col min="3" max="3" width="19.5546875" customWidth="1"/>
    <col min="7" max="7" width="16.21875" customWidth="1"/>
  </cols>
  <sheetData>
    <row r="4" spans="2:17" ht="43.2" x14ac:dyDescent="0.3">
      <c r="D4" s="5"/>
      <c r="E4" s="3"/>
      <c r="F4" s="4" t="s">
        <v>0</v>
      </c>
      <c r="G4" s="4" t="s">
        <v>1</v>
      </c>
      <c r="H4" s="4" t="s">
        <v>2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10</v>
      </c>
      <c r="Q4" s="4" t="s">
        <v>11</v>
      </c>
    </row>
    <row r="5" spans="2:17" x14ac:dyDescent="0.3">
      <c r="B5" s="22" t="s">
        <v>13</v>
      </c>
      <c r="C5" s="22"/>
      <c r="E5" s="5"/>
      <c r="F5" s="2">
        <v>0</v>
      </c>
      <c r="G5" s="2"/>
      <c r="H5" s="2"/>
      <c r="I5" s="2"/>
      <c r="J5" s="2"/>
      <c r="K5" s="2"/>
      <c r="L5" s="2"/>
      <c r="M5" s="2">
        <f>-C10</f>
        <v>-3220000</v>
      </c>
      <c r="N5" s="2">
        <f>-C10</f>
        <v>-3220000</v>
      </c>
      <c r="O5" s="2"/>
      <c r="P5" s="2"/>
      <c r="Q5" s="2"/>
    </row>
    <row r="6" spans="2:17" x14ac:dyDescent="0.3">
      <c r="B6" s="1" t="s">
        <v>24</v>
      </c>
      <c r="C6" s="1">
        <v>2300</v>
      </c>
      <c r="E6" s="5"/>
      <c r="F6" s="2">
        <v>1</v>
      </c>
      <c r="G6" s="2">
        <f>$C$24*(1+$C$25)^(F6-1)</f>
        <v>3679200</v>
      </c>
      <c r="H6" s="2">
        <f>$C$15</f>
        <v>2606493.0887507987</v>
      </c>
      <c r="I6" s="2">
        <f>$C$28*(1+$C$29)^(F6-1)</f>
        <v>100000</v>
      </c>
      <c r="J6" s="2">
        <f>$C$31*(1+$C$32)^(F6-1)</f>
        <v>980000</v>
      </c>
      <c r="K6" s="2">
        <f>G6-H6-I6-J6</f>
        <v>-7293.0887507987209</v>
      </c>
      <c r="L6" s="2">
        <f>K6/(1+$C$13)^F6</f>
        <v>-6815.970795138991</v>
      </c>
      <c r="M6" s="2">
        <f>M5+K6</f>
        <v>-3227293.0887507987</v>
      </c>
      <c r="N6" s="2">
        <f>N5+L6</f>
        <v>-3226815.9707951392</v>
      </c>
      <c r="O6" s="2">
        <f>Q6*$C$14</f>
        <v>1159200</v>
      </c>
      <c r="P6" s="2">
        <f t="shared" ref="P6:P25" si="0">H6-O6</f>
        <v>1447293.0887507987</v>
      </c>
      <c r="Q6" s="2">
        <f>C8-C10</f>
        <v>28980000</v>
      </c>
    </row>
    <row r="7" spans="2:17" x14ac:dyDescent="0.3">
      <c r="B7" s="1" t="s">
        <v>16</v>
      </c>
      <c r="C7" s="2">
        <v>14</v>
      </c>
      <c r="D7" s="5"/>
      <c r="E7" s="5"/>
      <c r="F7" s="2">
        <v>2</v>
      </c>
      <c r="G7" s="2">
        <f>$C$24*(1+$C$25)^(F7-1)</f>
        <v>3863160</v>
      </c>
      <c r="H7" s="2">
        <f t="shared" ref="H7:H20" si="1">$C$15</f>
        <v>2606493.0887507987</v>
      </c>
      <c r="I7" s="2">
        <f t="shared" ref="I7:I25" si="2">$C$28*(1+$C$29)^(F7-1)</f>
        <v>104000</v>
      </c>
      <c r="J7" s="2">
        <f t="shared" ref="J7:J25" si="3">$C$31*(1+$C$32)^(F7-1)</f>
        <v>980000</v>
      </c>
      <c r="K7" s="2">
        <f t="shared" ref="K7:K25" si="4">G7-H7-I7-J7</f>
        <v>172666.91124920128</v>
      </c>
      <c r="L7" s="2">
        <f t="shared" ref="L7:L25" si="5">K7/(1+$C$13)^F7</f>
        <v>150813.96737636585</v>
      </c>
      <c r="M7" s="2">
        <f t="shared" ref="M7:N22" si="6">M6+K7</f>
        <v>-3054626.1775015974</v>
      </c>
      <c r="N7" s="2">
        <f t="shared" si="6"/>
        <v>-3076002.0034187734</v>
      </c>
      <c r="O7" s="2">
        <f t="shared" ref="O7:O25" si="7">Q7*$C$14</f>
        <v>1101308.2764499681</v>
      </c>
      <c r="P7" s="2">
        <f t="shared" si="0"/>
        <v>1505184.8123008306</v>
      </c>
      <c r="Q7" s="2">
        <f>Q6-P6</f>
        <v>27532706.911249202</v>
      </c>
    </row>
    <row r="8" spans="2:17" x14ac:dyDescent="0.3">
      <c r="B8" s="1" t="s">
        <v>15</v>
      </c>
      <c r="C8" s="6">
        <f>C6*C7*1000</f>
        <v>32200000</v>
      </c>
      <c r="D8" s="7"/>
      <c r="E8" s="5"/>
      <c r="F8" s="2">
        <v>3</v>
      </c>
      <c r="G8" s="2">
        <f t="shared" ref="G8:G25" si="8">$C$24*(1+$C$25)^(F8-1)</f>
        <v>4056318</v>
      </c>
      <c r="H8" s="2">
        <f t="shared" si="1"/>
        <v>2606493.0887507987</v>
      </c>
      <c r="I8" s="2">
        <f t="shared" si="2"/>
        <v>108160.00000000001</v>
      </c>
      <c r="J8" s="2">
        <f t="shared" si="3"/>
        <v>980000</v>
      </c>
      <c r="K8" s="2">
        <f t="shared" si="4"/>
        <v>361664.91124920128</v>
      </c>
      <c r="L8" s="2">
        <f t="shared" si="5"/>
        <v>295226.29919864138</v>
      </c>
      <c r="M8" s="2">
        <f t="shared" si="6"/>
        <v>-2692961.2662523962</v>
      </c>
      <c r="N8" s="2">
        <f t="shared" si="6"/>
        <v>-2780775.704220132</v>
      </c>
      <c r="O8" s="2">
        <f t="shared" si="7"/>
        <v>1041100.8839579348</v>
      </c>
      <c r="P8" s="2">
        <f t="shared" si="0"/>
        <v>1565392.2047928639</v>
      </c>
      <c r="Q8" s="2">
        <f t="shared" ref="Q8:Q25" si="9">Q7-P7</f>
        <v>26027522.098948371</v>
      </c>
    </row>
    <row r="9" spans="2:17" x14ac:dyDescent="0.3">
      <c r="B9" s="1" t="s">
        <v>22</v>
      </c>
      <c r="C9" s="9">
        <v>0.1</v>
      </c>
      <c r="D9" s="7"/>
      <c r="E9" s="5"/>
      <c r="F9" s="2">
        <v>4</v>
      </c>
      <c r="G9" s="2">
        <f t="shared" si="8"/>
        <v>4259133.9000000004</v>
      </c>
      <c r="H9" s="2">
        <f t="shared" si="1"/>
        <v>2606493.0887507987</v>
      </c>
      <c r="I9" s="2">
        <f t="shared" si="2"/>
        <v>112486.40000000001</v>
      </c>
      <c r="J9" s="2">
        <f t="shared" si="3"/>
        <v>980000</v>
      </c>
      <c r="K9" s="2">
        <f t="shared" si="4"/>
        <v>560154.41124920174</v>
      </c>
      <c r="L9" s="2">
        <f t="shared" si="5"/>
        <v>427339.11834931641</v>
      </c>
      <c r="M9" s="2">
        <f t="shared" si="6"/>
        <v>-2132806.8550031944</v>
      </c>
      <c r="N9" s="2">
        <f t="shared" si="6"/>
        <v>-2353436.5858708154</v>
      </c>
      <c r="O9" s="2">
        <f t="shared" si="7"/>
        <v>978485.19576622022</v>
      </c>
      <c r="P9" s="2">
        <f t="shared" si="0"/>
        <v>1628007.8929845784</v>
      </c>
      <c r="Q9" s="2">
        <f t="shared" si="9"/>
        <v>24462129.894155506</v>
      </c>
    </row>
    <row r="10" spans="2:17" x14ac:dyDescent="0.3">
      <c r="B10" s="1" t="s">
        <v>23</v>
      </c>
      <c r="C10" s="6">
        <f>C8*C9</f>
        <v>3220000</v>
      </c>
      <c r="D10" s="7"/>
      <c r="F10" s="2">
        <v>5</v>
      </c>
      <c r="G10" s="2">
        <f t="shared" si="8"/>
        <v>4472090.5949999997</v>
      </c>
      <c r="H10" s="2">
        <f t="shared" si="1"/>
        <v>2606493.0887507987</v>
      </c>
      <c r="I10" s="2">
        <f t="shared" si="2"/>
        <v>116985.85600000001</v>
      </c>
      <c r="J10" s="2">
        <f t="shared" si="3"/>
        <v>980000</v>
      </c>
      <c r="K10" s="2">
        <f t="shared" si="4"/>
        <v>768611.65024920111</v>
      </c>
      <c r="L10" s="2">
        <f t="shared" si="5"/>
        <v>548009.48401781544</v>
      </c>
      <c r="M10" s="2">
        <f t="shared" si="6"/>
        <v>-1364195.2047539933</v>
      </c>
      <c r="N10" s="2">
        <f t="shared" si="6"/>
        <v>-1805427.101853</v>
      </c>
      <c r="O10" s="2">
        <f t="shared" si="7"/>
        <v>913364.88004683703</v>
      </c>
      <c r="P10" s="2">
        <f t="shared" si="0"/>
        <v>1693128.2087039617</v>
      </c>
      <c r="Q10" s="2">
        <f t="shared" si="9"/>
        <v>22834122.001170926</v>
      </c>
    </row>
    <row r="11" spans="2:17" x14ac:dyDescent="0.3">
      <c r="B11" s="1" t="s">
        <v>43</v>
      </c>
      <c r="C11" s="2">
        <v>20</v>
      </c>
      <c r="D11" s="7"/>
      <c r="F11" s="2">
        <v>6</v>
      </c>
      <c r="G11" s="2">
        <f t="shared" si="8"/>
        <v>4695695.1247500004</v>
      </c>
      <c r="H11" s="2">
        <f t="shared" si="1"/>
        <v>2606493.0887507987</v>
      </c>
      <c r="I11" s="2">
        <f t="shared" si="2"/>
        <v>121665.29024000003</v>
      </c>
      <c r="J11" s="2">
        <f t="shared" si="3"/>
        <v>980000</v>
      </c>
      <c r="K11" s="2">
        <f t="shared" si="4"/>
        <v>987536.7457592017</v>
      </c>
      <c r="L11" s="2">
        <f t="shared" si="5"/>
        <v>658037.43126970844</v>
      </c>
      <c r="M11" s="2">
        <f t="shared" si="6"/>
        <v>-376658.45899479161</v>
      </c>
      <c r="N11" s="2">
        <f t="shared" si="6"/>
        <v>-1147389.6705832914</v>
      </c>
      <c r="O11" s="2">
        <f t="shared" si="7"/>
        <v>845639.75169867859</v>
      </c>
      <c r="P11" s="2">
        <f t="shared" si="0"/>
        <v>1760853.3370521201</v>
      </c>
      <c r="Q11" s="2">
        <f t="shared" si="9"/>
        <v>21140993.792466965</v>
      </c>
    </row>
    <row r="12" spans="2:17" x14ac:dyDescent="0.3">
      <c r="B12" s="1" t="s">
        <v>44</v>
      </c>
      <c r="C12" s="2">
        <v>15</v>
      </c>
      <c r="D12" s="7"/>
      <c r="F12" s="2">
        <v>7</v>
      </c>
      <c r="G12" s="2">
        <f t="shared" si="8"/>
        <v>4930479.8809874998</v>
      </c>
      <c r="H12" s="2">
        <f t="shared" si="1"/>
        <v>2606493.0887507987</v>
      </c>
      <c r="I12" s="2">
        <f t="shared" si="2"/>
        <v>126531.90184960004</v>
      </c>
      <c r="J12" s="2">
        <f t="shared" si="3"/>
        <v>980000</v>
      </c>
      <c r="K12" s="2">
        <f t="shared" si="4"/>
        <v>1217454.8903871011</v>
      </c>
      <c r="L12" s="2">
        <f t="shared" si="5"/>
        <v>758169.71874470043</v>
      </c>
      <c r="M12" s="2">
        <f t="shared" si="6"/>
        <v>840796.43139230949</v>
      </c>
      <c r="N12" s="2">
        <f t="shared" si="6"/>
        <v>-389219.95183859102</v>
      </c>
      <c r="O12" s="2">
        <f t="shared" si="7"/>
        <v>775205.61821659375</v>
      </c>
      <c r="P12" s="2">
        <f t="shared" si="0"/>
        <v>1831287.470534205</v>
      </c>
      <c r="Q12" s="2">
        <f t="shared" si="9"/>
        <v>19380140.455414843</v>
      </c>
    </row>
    <row r="13" spans="2:17" x14ac:dyDescent="0.3">
      <c r="B13" s="1" t="s">
        <v>17</v>
      </c>
      <c r="C13" s="12">
        <v>7.0000000000000007E-2</v>
      </c>
      <c r="D13" s="8"/>
      <c r="F13" s="2">
        <v>8</v>
      </c>
      <c r="G13" s="2">
        <f t="shared" si="8"/>
        <v>5177003.8750368757</v>
      </c>
      <c r="H13" s="2">
        <f t="shared" si="1"/>
        <v>2606493.0887507987</v>
      </c>
      <c r="I13" s="2">
        <f t="shared" si="2"/>
        <v>131593.17792358404</v>
      </c>
      <c r="J13" s="2">
        <f t="shared" si="3"/>
        <v>980000</v>
      </c>
      <c r="K13" s="2">
        <f t="shared" si="4"/>
        <v>1458917.6083624931</v>
      </c>
      <c r="L13" s="2">
        <f t="shared" si="5"/>
        <v>849103.330877222</v>
      </c>
      <c r="M13" s="2">
        <f t="shared" si="6"/>
        <v>2299714.0397548024</v>
      </c>
      <c r="N13" s="2">
        <f t="shared" si="6"/>
        <v>459883.37903863098</v>
      </c>
      <c r="O13" s="2">
        <f t="shared" si="7"/>
        <v>701954.11939522554</v>
      </c>
      <c r="P13" s="2">
        <f t="shared" si="0"/>
        <v>1904538.9693555732</v>
      </c>
      <c r="Q13" s="2">
        <f t="shared" si="9"/>
        <v>17548852.984880637</v>
      </c>
    </row>
    <row r="14" spans="2:17" x14ac:dyDescent="0.3">
      <c r="B14" s="1" t="s">
        <v>18</v>
      </c>
      <c r="C14" s="9">
        <v>0.04</v>
      </c>
      <c r="F14" s="2">
        <v>9</v>
      </c>
      <c r="G14" s="2">
        <f t="shared" si="8"/>
        <v>5435854.0687887194</v>
      </c>
      <c r="H14" s="2">
        <f t="shared" si="1"/>
        <v>2606493.0887507987</v>
      </c>
      <c r="I14" s="2">
        <f t="shared" si="2"/>
        <v>136856.9050405274</v>
      </c>
      <c r="J14" s="2">
        <f t="shared" si="3"/>
        <v>980000</v>
      </c>
      <c r="K14" s="2">
        <f t="shared" si="4"/>
        <v>1712504.0749973934</v>
      </c>
      <c r="L14" s="2">
        <f t="shared" si="5"/>
        <v>931488.75070393668</v>
      </c>
      <c r="M14" s="2">
        <f t="shared" si="6"/>
        <v>4012218.1147521958</v>
      </c>
      <c r="N14" s="2">
        <f t="shared" si="6"/>
        <v>1391372.1297425677</v>
      </c>
      <c r="O14" s="2">
        <f t="shared" si="7"/>
        <v>625772.56062100257</v>
      </c>
      <c r="P14" s="2">
        <f t="shared" si="0"/>
        <v>1980720.528129796</v>
      </c>
      <c r="Q14" s="2">
        <f t="shared" si="9"/>
        <v>15644314.015525063</v>
      </c>
    </row>
    <row r="15" spans="2:17" x14ac:dyDescent="0.3">
      <c r="B15" s="1" t="s">
        <v>48</v>
      </c>
      <c r="C15" s="2">
        <f>(C8-C10)/((1/C14)*(1-(1/(1+C14))^C12))</f>
        <v>2606493.0887507987</v>
      </c>
      <c r="F15" s="2">
        <v>10</v>
      </c>
      <c r="G15" s="2">
        <f t="shared" si="8"/>
        <v>5707646.7722281553</v>
      </c>
      <c r="H15" s="2">
        <f t="shared" si="1"/>
        <v>2606493.0887507987</v>
      </c>
      <c r="I15" s="2">
        <f t="shared" si="2"/>
        <v>142331.18124214851</v>
      </c>
      <c r="J15" s="2">
        <f t="shared" si="3"/>
        <v>980000</v>
      </c>
      <c r="K15" s="2">
        <f t="shared" si="4"/>
        <v>1978822.5022352082</v>
      </c>
      <c r="L15" s="2">
        <f t="shared" si="5"/>
        <v>1005933.0182715191</v>
      </c>
      <c r="M15" s="2">
        <f t="shared" si="6"/>
        <v>5991040.6169874035</v>
      </c>
      <c r="N15" s="2">
        <f t="shared" si="6"/>
        <v>2397305.1480140868</v>
      </c>
      <c r="O15" s="2">
        <f t="shared" si="7"/>
        <v>546543.7394958107</v>
      </c>
      <c r="P15" s="2">
        <f t="shared" si="0"/>
        <v>2059949.3492549881</v>
      </c>
      <c r="Q15" s="2">
        <f t="shared" si="9"/>
        <v>13663593.487395268</v>
      </c>
    </row>
    <row r="16" spans="2:17" x14ac:dyDescent="0.3">
      <c r="F16" s="2">
        <v>11</v>
      </c>
      <c r="G16" s="2">
        <f t="shared" si="8"/>
        <v>5993029.1108395634</v>
      </c>
      <c r="H16" s="2">
        <f t="shared" si="1"/>
        <v>2606493.0887507987</v>
      </c>
      <c r="I16" s="2">
        <f t="shared" si="2"/>
        <v>148024.42849183446</v>
      </c>
      <c r="J16" s="2">
        <f t="shared" si="3"/>
        <v>980000</v>
      </c>
      <c r="K16" s="2">
        <f t="shared" si="4"/>
        <v>2258511.5935969301</v>
      </c>
      <c r="L16" s="2">
        <f t="shared" si="5"/>
        <v>1073002.5886757502</v>
      </c>
      <c r="M16" s="2">
        <f t="shared" si="6"/>
        <v>8249552.2105843332</v>
      </c>
      <c r="N16" s="2">
        <f t="shared" si="6"/>
        <v>3470307.7366898367</v>
      </c>
      <c r="O16" s="2">
        <f t="shared" si="7"/>
        <v>464145.76552561118</v>
      </c>
      <c r="P16" s="2">
        <f t="shared" si="0"/>
        <v>2142347.3232251876</v>
      </c>
      <c r="Q16" s="2">
        <f t="shared" si="9"/>
        <v>11603644.13814028</v>
      </c>
    </row>
    <row r="17" spans="2:17" x14ac:dyDescent="0.3">
      <c r="B17" s="20" t="s">
        <v>14</v>
      </c>
      <c r="C17" s="21"/>
      <c r="F17" s="2">
        <v>12</v>
      </c>
      <c r="G17" s="2">
        <f t="shared" si="8"/>
        <v>6292680.566381542</v>
      </c>
      <c r="H17" s="2">
        <f t="shared" si="1"/>
        <v>2606493.0887507987</v>
      </c>
      <c r="I17" s="2">
        <f t="shared" si="2"/>
        <v>153945.40563150783</v>
      </c>
      <c r="J17" s="2">
        <f t="shared" si="3"/>
        <v>980000</v>
      </c>
      <c r="K17" s="2">
        <f t="shared" si="4"/>
        <v>2552242.0719992355</v>
      </c>
      <c r="L17" s="2">
        <f t="shared" si="5"/>
        <v>1133226.0028450144</v>
      </c>
      <c r="M17" s="2">
        <f t="shared" si="6"/>
        <v>10801794.282583568</v>
      </c>
      <c r="N17" s="2">
        <f t="shared" si="6"/>
        <v>4603533.7395348512</v>
      </c>
      <c r="O17" s="2">
        <f t="shared" si="7"/>
        <v>378451.8725966037</v>
      </c>
      <c r="P17" s="2">
        <f t="shared" si="0"/>
        <v>2228041.2161541949</v>
      </c>
      <c r="Q17" s="2">
        <f t="shared" si="9"/>
        <v>9461296.8149150927</v>
      </c>
    </row>
    <row r="18" spans="2:17" x14ac:dyDescent="0.3">
      <c r="B18" s="1" t="s">
        <v>49</v>
      </c>
      <c r="C18" s="2">
        <v>8760</v>
      </c>
      <c r="F18" s="2">
        <v>13</v>
      </c>
      <c r="G18" s="2">
        <f t="shared" si="8"/>
        <v>6607314.5947006177</v>
      </c>
      <c r="H18" s="2">
        <f t="shared" si="1"/>
        <v>2606493.0887507987</v>
      </c>
      <c r="I18" s="2">
        <f t="shared" si="2"/>
        <v>160103.22185676818</v>
      </c>
      <c r="J18" s="2">
        <f t="shared" si="3"/>
        <v>980000</v>
      </c>
      <c r="K18" s="2">
        <f t="shared" si="4"/>
        <v>2860718.2840930508</v>
      </c>
      <c r="L18" s="2">
        <f t="shared" si="5"/>
        <v>1187096.3833233174</v>
      </c>
      <c r="M18" s="2">
        <f t="shared" si="6"/>
        <v>13662512.566676619</v>
      </c>
      <c r="N18" s="2">
        <f t="shared" si="6"/>
        <v>5790630.1228581686</v>
      </c>
      <c r="O18" s="2">
        <f t="shared" si="7"/>
        <v>289330.22395043587</v>
      </c>
      <c r="P18" s="2">
        <f t="shared" si="0"/>
        <v>2317162.8648003628</v>
      </c>
      <c r="Q18" s="2">
        <f t="shared" si="9"/>
        <v>7233255.5987608973</v>
      </c>
    </row>
    <row r="19" spans="2:17" x14ac:dyDescent="0.3">
      <c r="B19" s="1" t="s">
        <v>19</v>
      </c>
      <c r="C19" s="9">
        <v>0.2</v>
      </c>
      <c r="F19" s="2">
        <v>14</v>
      </c>
      <c r="G19" s="2">
        <f t="shared" si="8"/>
        <v>6937680.3244356494</v>
      </c>
      <c r="H19" s="2">
        <f t="shared" si="1"/>
        <v>2606493.0887507987</v>
      </c>
      <c r="I19" s="2">
        <f t="shared" si="2"/>
        <v>166507.3507310389</v>
      </c>
      <c r="J19" s="2">
        <f t="shared" si="3"/>
        <v>980000</v>
      </c>
      <c r="K19" s="2">
        <f t="shared" si="4"/>
        <v>3184679.8849538122</v>
      </c>
      <c r="L19" s="2">
        <f t="shared" si="5"/>
        <v>1235073.7665061592</v>
      </c>
      <c r="M19" s="2">
        <f t="shared" si="6"/>
        <v>16847192.451630432</v>
      </c>
      <c r="N19" s="2">
        <f t="shared" si="6"/>
        <v>7025703.8893643282</v>
      </c>
      <c r="O19" s="2">
        <f t="shared" si="7"/>
        <v>196643.70935842139</v>
      </c>
      <c r="P19" s="2">
        <f t="shared" si="0"/>
        <v>2409849.3793923771</v>
      </c>
      <c r="Q19" s="2">
        <f t="shared" si="9"/>
        <v>4916092.7339605344</v>
      </c>
    </row>
    <row r="20" spans="2:17" x14ac:dyDescent="0.3">
      <c r="B20" s="1" t="s">
        <v>50</v>
      </c>
      <c r="C20" s="2">
        <f>C18*C19</f>
        <v>1752</v>
      </c>
      <c r="D20" s="5"/>
      <c r="F20" s="2">
        <v>15</v>
      </c>
      <c r="G20" s="2">
        <f t="shared" si="8"/>
        <v>7284564.3406574307</v>
      </c>
      <c r="H20" s="2">
        <f t="shared" si="1"/>
        <v>2606493.0887507987</v>
      </c>
      <c r="I20" s="2">
        <f t="shared" si="2"/>
        <v>173167.64476028047</v>
      </c>
      <c r="J20" s="2">
        <f t="shared" si="3"/>
        <v>980000</v>
      </c>
      <c r="K20" s="2">
        <f t="shared" si="4"/>
        <v>3524903.6071463507</v>
      </c>
      <c r="L20" s="2">
        <f t="shared" si="5"/>
        <v>1277587.2820331906</v>
      </c>
      <c r="M20" s="2">
        <f t="shared" si="6"/>
        <v>20372096.058776781</v>
      </c>
      <c r="N20" s="2">
        <f t="shared" si="6"/>
        <v>8303291.1713975184</v>
      </c>
      <c r="O20" s="2">
        <f t="shared" si="7"/>
        <v>100249.7341827263</v>
      </c>
      <c r="P20" s="2">
        <f t="shared" si="0"/>
        <v>2506243.3545680726</v>
      </c>
      <c r="Q20" s="2">
        <f t="shared" si="9"/>
        <v>2506243.3545681573</v>
      </c>
    </row>
    <row r="21" spans="2:17" x14ac:dyDescent="0.3">
      <c r="B21" s="1" t="s">
        <v>12</v>
      </c>
      <c r="C21" s="2">
        <f>C7*C20</f>
        <v>24528</v>
      </c>
      <c r="F21" s="2">
        <v>16</v>
      </c>
      <c r="G21" s="2">
        <f t="shared" si="8"/>
        <v>7648792.5576903047</v>
      </c>
      <c r="H21" s="2">
        <v>0</v>
      </c>
      <c r="I21" s="2">
        <f t="shared" si="2"/>
        <v>180094.35055069168</v>
      </c>
      <c r="J21" s="2">
        <f t="shared" si="3"/>
        <v>980000</v>
      </c>
      <c r="K21" s="2">
        <f t="shared" si="4"/>
        <v>6488698.2071396131</v>
      </c>
      <c r="L21" s="2">
        <f t="shared" si="5"/>
        <v>2197946.5774189425</v>
      </c>
      <c r="M21" s="2">
        <f t="shared" si="6"/>
        <v>26860794.265916392</v>
      </c>
      <c r="N21" s="2">
        <f t="shared" si="6"/>
        <v>10501237.74881646</v>
      </c>
      <c r="O21" s="2">
        <f t="shared" si="7"/>
        <v>3.3900141716003419E-9</v>
      </c>
      <c r="P21" s="2">
        <f t="shared" si="0"/>
        <v>-3.3900141716003419E-9</v>
      </c>
      <c r="Q21" s="2">
        <f t="shared" si="9"/>
        <v>8.4750354290008545E-8</v>
      </c>
    </row>
    <row r="22" spans="2:17" x14ac:dyDescent="0.3">
      <c r="B22" s="1" t="s">
        <v>55</v>
      </c>
      <c r="C22" s="6">
        <v>100</v>
      </c>
      <c r="F22" s="2">
        <v>17</v>
      </c>
      <c r="G22" s="2">
        <f t="shared" si="8"/>
        <v>8031232.1855748193</v>
      </c>
      <c r="H22" s="2">
        <v>0</v>
      </c>
      <c r="I22" s="2">
        <f t="shared" si="2"/>
        <v>187298.12457271936</v>
      </c>
      <c r="J22" s="2">
        <f t="shared" si="3"/>
        <v>980000</v>
      </c>
      <c r="K22" s="2">
        <f t="shared" si="4"/>
        <v>6863934.0610020999</v>
      </c>
      <c r="L22" s="2">
        <f t="shared" si="5"/>
        <v>2172945.7415475841</v>
      </c>
      <c r="M22" s="2">
        <f t="shared" si="6"/>
        <v>33724728.32691849</v>
      </c>
      <c r="N22" s="2">
        <f t="shared" si="6"/>
        <v>12674183.490364045</v>
      </c>
      <c r="O22" s="2">
        <f t="shared" si="7"/>
        <v>3.5256147384643555E-9</v>
      </c>
      <c r="P22" s="2">
        <f t="shared" si="0"/>
        <v>-3.5256147384643555E-9</v>
      </c>
      <c r="Q22" s="2">
        <f t="shared" si="9"/>
        <v>8.8140368461608887E-8</v>
      </c>
    </row>
    <row r="23" spans="2:17" x14ac:dyDescent="0.3">
      <c r="B23" s="1" t="s">
        <v>56</v>
      </c>
      <c r="C23" s="6">
        <v>1.5</v>
      </c>
      <c r="F23" s="2">
        <v>18</v>
      </c>
      <c r="G23" s="2">
        <f t="shared" si="8"/>
        <v>8432793.7948535606</v>
      </c>
      <c r="H23" s="2">
        <v>0</v>
      </c>
      <c r="I23" s="2">
        <f t="shared" si="2"/>
        <v>194790.04955562815</v>
      </c>
      <c r="J23" s="2">
        <f t="shared" si="3"/>
        <v>980000</v>
      </c>
      <c r="K23" s="2">
        <f t="shared" si="4"/>
        <v>7258003.7452979321</v>
      </c>
      <c r="L23" s="2">
        <f t="shared" si="5"/>
        <v>2147381.412760674</v>
      </c>
      <c r="M23" s="2">
        <f t="shared" ref="M23:N25" si="10">M22+K23</f>
        <v>40982732.072216421</v>
      </c>
      <c r="N23" s="2">
        <f t="shared" si="10"/>
        <v>14821564.90312472</v>
      </c>
      <c r="O23" s="2">
        <f t="shared" si="7"/>
        <v>3.6666393280029298E-9</v>
      </c>
      <c r="P23" s="2">
        <f t="shared" si="0"/>
        <v>-3.6666393280029298E-9</v>
      </c>
      <c r="Q23" s="2">
        <f t="shared" si="9"/>
        <v>9.1665983200073245E-8</v>
      </c>
    </row>
    <row r="24" spans="2:17" x14ac:dyDescent="0.3">
      <c r="B24" s="1" t="s">
        <v>45</v>
      </c>
      <c r="C24" s="6">
        <f>C23*C22*C21</f>
        <v>3679200</v>
      </c>
      <c r="F24" s="2">
        <v>19</v>
      </c>
      <c r="G24" s="2">
        <f t="shared" si="8"/>
        <v>8854433.4845962394</v>
      </c>
      <c r="H24" s="2">
        <v>0</v>
      </c>
      <c r="I24" s="2">
        <f t="shared" si="2"/>
        <v>202581.65153785329</v>
      </c>
      <c r="J24" s="2">
        <f t="shared" si="3"/>
        <v>980000</v>
      </c>
      <c r="K24" s="2">
        <f t="shared" si="4"/>
        <v>7671851.833058387</v>
      </c>
      <c r="L24" s="2">
        <f t="shared" si="5"/>
        <v>2121330.9614651278</v>
      </c>
      <c r="M24" s="2">
        <f t="shared" si="10"/>
        <v>48654583.905274808</v>
      </c>
      <c r="N24" s="2">
        <f t="shared" si="10"/>
        <v>16942895.864589848</v>
      </c>
      <c r="O24" s="2">
        <f t="shared" si="7"/>
        <v>3.813304901123047E-9</v>
      </c>
      <c r="P24" s="2">
        <f t="shared" si="0"/>
        <v>-3.813304901123047E-9</v>
      </c>
      <c r="Q24" s="2">
        <f t="shared" si="9"/>
        <v>9.5332622528076169E-8</v>
      </c>
    </row>
    <row r="25" spans="2:17" x14ac:dyDescent="0.3">
      <c r="B25" s="1" t="s">
        <v>27</v>
      </c>
      <c r="C25" s="9">
        <v>0.05</v>
      </c>
      <c r="F25" s="2">
        <v>20</v>
      </c>
      <c r="G25" s="2">
        <f t="shared" si="8"/>
        <v>9297155.1588260513</v>
      </c>
      <c r="H25" s="2">
        <v>0</v>
      </c>
      <c r="I25" s="2">
        <f t="shared" si="2"/>
        <v>210684.91759936741</v>
      </c>
      <c r="J25" s="2">
        <f t="shared" si="3"/>
        <v>980000</v>
      </c>
      <c r="K25" s="2">
        <f t="shared" si="4"/>
        <v>8106470.2412266843</v>
      </c>
      <c r="L25" s="2">
        <f t="shared" si="5"/>
        <v>2094865.9560781014</v>
      </c>
      <c r="M25" s="2">
        <f t="shared" si="10"/>
        <v>56761054.146501496</v>
      </c>
      <c r="N25" s="10">
        <f t="shared" si="10"/>
        <v>19037761.820667949</v>
      </c>
      <c r="O25" s="2">
        <f t="shared" si="7"/>
        <v>3.9658370971679684E-9</v>
      </c>
      <c r="P25" s="2">
        <f t="shared" si="0"/>
        <v>-3.9658370971679684E-9</v>
      </c>
      <c r="Q25" s="2">
        <f t="shared" si="9"/>
        <v>9.9145927429199211E-8</v>
      </c>
    </row>
    <row r="27" spans="2:17" x14ac:dyDescent="0.3">
      <c r="B27" s="20" t="s">
        <v>20</v>
      </c>
      <c r="C27" s="21"/>
    </row>
    <row r="28" spans="2:17" x14ac:dyDescent="0.3">
      <c r="B28" s="1" t="s">
        <v>21</v>
      </c>
      <c r="C28" s="2">
        <v>100000</v>
      </c>
    </row>
    <row r="29" spans="2:17" x14ac:dyDescent="0.3">
      <c r="B29" s="1" t="s">
        <v>46</v>
      </c>
      <c r="C29" s="9">
        <v>0.04</v>
      </c>
    </row>
    <row r="30" spans="2:17" x14ac:dyDescent="0.3">
      <c r="B30" s="1" t="s">
        <v>25</v>
      </c>
      <c r="C30" s="1">
        <v>70</v>
      </c>
    </row>
    <row r="31" spans="2:17" x14ac:dyDescent="0.3">
      <c r="B31" s="1" t="s">
        <v>26</v>
      </c>
      <c r="C31" s="2">
        <f>C30*C7*1000</f>
        <v>980000</v>
      </c>
    </row>
    <row r="32" spans="2:17" x14ac:dyDescent="0.3">
      <c r="B32" s="1" t="s">
        <v>47</v>
      </c>
      <c r="C32" s="11">
        <v>0</v>
      </c>
    </row>
    <row r="34" spans="2:3" x14ac:dyDescent="0.3">
      <c r="B34" s="23" t="s">
        <v>28</v>
      </c>
      <c r="C34" s="24"/>
    </row>
    <row r="35" spans="2:3" x14ac:dyDescent="0.3">
      <c r="B35" s="1" t="s">
        <v>29</v>
      </c>
      <c r="C35" s="9">
        <v>0.25800000000000001</v>
      </c>
    </row>
    <row r="37" spans="2:3" x14ac:dyDescent="0.3">
      <c r="B37" s="25" t="s">
        <v>30</v>
      </c>
      <c r="C37" s="25"/>
    </row>
    <row r="38" spans="2:3" x14ac:dyDescent="0.3">
      <c r="B38" s="25"/>
      <c r="C38" s="25"/>
    </row>
  </sheetData>
  <mergeCells count="3">
    <mergeCell ref="B5:C5"/>
    <mergeCell ref="B34:C34"/>
    <mergeCell ref="B37:C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D9FA-7EAC-453C-8A81-ED1A831CA010}">
  <dimension ref="B1:J30"/>
  <sheetViews>
    <sheetView tabSelected="1" topLeftCell="D1" workbookViewId="0">
      <selection activeCell="J31" sqref="J31"/>
    </sheetView>
  </sheetViews>
  <sheetFormatPr baseColWidth="10" defaultRowHeight="14.4" x14ac:dyDescent="0.3"/>
  <cols>
    <col min="2" max="2" width="36.77734375" customWidth="1"/>
    <col min="5" max="10" width="23" customWidth="1"/>
  </cols>
  <sheetData>
    <row r="1" spans="2:10" ht="17.399999999999999" x14ac:dyDescent="0.3">
      <c r="E1" s="26" t="s">
        <v>31</v>
      </c>
      <c r="F1" s="26"/>
      <c r="G1" s="26"/>
      <c r="H1" s="26"/>
      <c r="I1" s="26"/>
      <c r="J1" s="26"/>
    </row>
    <row r="2" spans="2:10" x14ac:dyDescent="0.3">
      <c r="E2" s="3"/>
      <c r="F2" s="3"/>
      <c r="G2" s="3"/>
      <c r="H2" s="3"/>
      <c r="I2" s="3"/>
      <c r="J2" s="3"/>
    </row>
    <row r="3" spans="2:10" ht="28.8" x14ac:dyDescent="0.3">
      <c r="E3" s="4" t="s">
        <v>32</v>
      </c>
      <c r="F3" s="4" t="s">
        <v>33</v>
      </c>
      <c r="G3" s="4" t="s">
        <v>34</v>
      </c>
      <c r="H3" s="4" t="s">
        <v>35</v>
      </c>
      <c r="I3" s="4" t="s">
        <v>36</v>
      </c>
      <c r="J3" s="4" t="s">
        <v>37</v>
      </c>
    </row>
    <row r="4" spans="2:10" x14ac:dyDescent="0.3">
      <c r="B4" s="1" t="s">
        <v>38</v>
      </c>
      <c r="C4" s="1">
        <v>2</v>
      </c>
      <c r="E4" s="1">
        <v>0</v>
      </c>
      <c r="F4" s="13">
        <f t="shared" ref="F4:F30" si="0">WEIBULL(E4,$C$4,$C$5,FALSE)</f>
        <v>0</v>
      </c>
      <c r="G4" s="13">
        <f>E4*F4</f>
        <v>0</v>
      </c>
      <c r="H4" s="14">
        <f t="shared" ref="H4:H30" si="1">F4*$C$6</f>
        <v>0</v>
      </c>
      <c r="I4" s="1">
        <f>IF(E4&lt;=2,0,IF(AND(E4&gt;2,E4&lt;=5),0.5*E4-1,IF(AND(E4&gt;5,E4&lt;=17),3*E4-13.5,IF(AND(E4&gt;17,E4&lt;=25),37.5,0))))</f>
        <v>0</v>
      </c>
      <c r="J4" s="15">
        <f>H4*I4</f>
        <v>0</v>
      </c>
    </row>
    <row r="5" spans="2:10" x14ac:dyDescent="0.3">
      <c r="B5" s="1" t="s">
        <v>39</v>
      </c>
      <c r="C5" s="1">
        <v>8</v>
      </c>
      <c r="E5" s="1">
        <f>E4+1</f>
        <v>1</v>
      </c>
      <c r="F5" s="13">
        <f t="shared" si="0"/>
        <v>3.0765513656419028E-2</v>
      </c>
      <c r="G5" s="13">
        <f t="shared" ref="G5:G30" si="2">E5*F5</f>
        <v>3.0765513656419028E-2</v>
      </c>
      <c r="H5" s="14">
        <f t="shared" si="1"/>
        <v>269.50589963023066</v>
      </c>
      <c r="I5" s="1">
        <f t="shared" ref="I5:I30" si="3">IF(E5&lt;=2,0,IF(AND(E5&gt;2,E5&lt;=5),0.5*E5-1,IF(AND(E5&gt;5,E5&lt;=17),3*E5-13.5,IF(AND(E5&gt;17,E5&lt;=25),37.5,0))))</f>
        <v>0</v>
      </c>
      <c r="J5" s="15">
        <f t="shared" ref="J5:J30" si="4">H5*I5</f>
        <v>0</v>
      </c>
    </row>
    <row r="6" spans="2:10" x14ac:dyDescent="0.3">
      <c r="B6" s="1" t="s">
        <v>51</v>
      </c>
      <c r="C6" s="6">
        <f>365*24</f>
        <v>8760</v>
      </c>
      <c r="E6" s="1">
        <f t="shared" ref="E6:E26" si="5">E5+1</f>
        <v>2</v>
      </c>
      <c r="F6" s="13">
        <f t="shared" si="0"/>
        <v>5.8713316425842266E-2</v>
      </c>
      <c r="G6" s="13">
        <f t="shared" si="2"/>
        <v>0.11742663285168453</v>
      </c>
      <c r="H6" s="14">
        <f t="shared" si="1"/>
        <v>514.3286518903783</v>
      </c>
      <c r="I6" s="1">
        <f t="shared" si="3"/>
        <v>0</v>
      </c>
      <c r="J6" s="15">
        <f t="shared" si="4"/>
        <v>0</v>
      </c>
    </row>
    <row r="7" spans="2:10" x14ac:dyDescent="0.3">
      <c r="B7" s="1" t="s">
        <v>40</v>
      </c>
      <c r="C7" s="16">
        <f>SUM(G4:G30)</f>
        <v>7.0893523047113058</v>
      </c>
      <c r="E7" s="1">
        <f t="shared" si="5"/>
        <v>3</v>
      </c>
      <c r="F7" s="13">
        <f t="shared" si="0"/>
        <v>8.1451411524641595E-2</v>
      </c>
      <c r="G7" s="13">
        <f t="shared" si="2"/>
        <v>0.2443542345739248</v>
      </c>
      <c r="H7" s="14">
        <f t="shared" si="1"/>
        <v>713.5143649558604</v>
      </c>
      <c r="I7" s="1">
        <f t="shared" si="3"/>
        <v>0.5</v>
      </c>
      <c r="J7" s="15">
        <f>H7*I7</f>
        <v>356.7571824779302</v>
      </c>
    </row>
    <row r="8" spans="2:10" x14ac:dyDescent="0.3">
      <c r="E8" s="1">
        <f t="shared" si="5"/>
        <v>4</v>
      </c>
      <c r="F8" s="13">
        <f t="shared" si="0"/>
        <v>9.7350097883925651E-2</v>
      </c>
      <c r="G8" s="13">
        <f t="shared" si="2"/>
        <v>0.38940039153570261</v>
      </c>
      <c r="H8" s="14">
        <f t="shared" si="1"/>
        <v>852.78685746318865</v>
      </c>
      <c r="I8" s="1">
        <f t="shared" si="3"/>
        <v>1</v>
      </c>
      <c r="J8" s="15">
        <f t="shared" si="4"/>
        <v>852.78685746318865</v>
      </c>
    </row>
    <row r="9" spans="2:10" x14ac:dyDescent="0.3">
      <c r="E9" s="1">
        <f t="shared" si="5"/>
        <v>5</v>
      </c>
      <c r="F9" s="13">
        <f t="shared" si="0"/>
        <v>0.10572403846277019</v>
      </c>
      <c r="G9" s="13">
        <f t="shared" si="2"/>
        <v>0.52862019231385093</v>
      </c>
      <c r="H9" s="14">
        <f t="shared" si="1"/>
        <v>926.14257693386685</v>
      </c>
      <c r="I9" s="1">
        <f t="shared" si="3"/>
        <v>1.5</v>
      </c>
      <c r="J9" s="15">
        <f t="shared" si="4"/>
        <v>1389.2138654008004</v>
      </c>
    </row>
    <row r="10" spans="2:10" x14ac:dyDescent="0.3">
      <c r="B10" s="1" t="s">
        <v>37</v>
      </c>
      <c r="C10" s="2">
        <f>SUM(J4:J31)</f>
        <v>80261.329661155396</v>
      </c>
      <c r="E10" s="1">
        <f t="shared" si="5"/>
        <v>6</v>
      </c>
      <c r="F10" s="13">
        <f t="shared" si="0"/>
        <v>0.10683427963704811</v>
      </c>
      <c r="G10" s="13">
        <f t="shared" si="2"/>
        <v>0.64100567782228868</v>
      </c>
      <c r="H10" s="14">
        <f t="shared" si="1"/>
        <v>935.86828962054142</v>
      </c>
      <c r="I10" s="1">
        <f t="shared" si="3"/>
        <v>4.5</v>
      </c>
      <c r="J10" s="15">
        <f t="shared" si="4"/>
        <v>4211.4073032924362</v>
      </c>
    </row>
    <row r="11" spans="2:10" x14ac:dyDescent="0.3">
      <c r="B11" s="1" t="s">
        <v>52</v>
      </c>
      <c r="C11" s="17">
        <v>0.15</v>
      </c>
      <c r="E11" s="1">
        <f t="shared" si="5"/>
        <v>7</v>
      </c>
      <c r="F11" s="13">
        <f t="shared" si="0"/>
        <v>0.10172819740432484</v>
      </c>
      <c r="G11" s="13">
        <f t="shared" si="2"/>
        <v>0.71209738183027393</v>
      </c>
      <c r="H11" s="14">
        <f t="shared" si="1"/>
        <v>891.13900926188558</v>
      </c>
      <c r="I11" s="1">
        <f t="shared" si="3"/>
        <v>7.5</v>
      </c>
      <c r="J11" s="15">
        <f t="shared" si="4"/>
        <v>6683.5425694641417</v>
      </c>
    </row>
    <row r="12" spans="2:10" x14ac:dyDescent="0.3">
      <c r="B12" s="1" t="s">
        <v>41</v>
      </c>
      <c r="C12" s="18">
        <f>C10*C11</f>
        <v>12039.199449173309</v>
      </c>
      <c r="E12" s="1">
        <f t="shared" si="5"/>
        <v>8</v>
      </c>
      <c r="F12" s="13">
        <f t="shared" si="0"/>
        <v>9.1969860292860597E-2</v>
      </c>
      <c r="G12" s="13">
        <f t="shared" si="2"/>
        <v>0.73575888234288478</v>
      </c>
      <c r="H12" s="14">
        <f t="shared" si="1"/>
        <v>805.65597616545881</v>
      </c>
      <c r="I12" s="1">
        <f t="shared" si="3"/>
        <v>10.5</v>
      </c>
      <c r="J12" s="15">
        <f t="shared" si="4"/>
        <v>8459.3877497373178</v>
      </c>
    </row>
    <row r="13" spans="2:10" x14ac:dyDescent="0.3">
      <c r="B13" s="1" t="s">
        <v>53</v>
      </c>
      <c r="C13" s="17">
        <f>75000</f>
        <v>75000</v>
      </c>
      <c r="E13" s="1">
        <f t="shared" si="5"/>
        <v>9</v>
      </c>
      <c r="F13" s="13">
        <f t="shared" si="0"/>
        <v>7.9330205163885642E-2</v>
      </c>
      <c r="G13" s="13">
        <f t="shared" si="2"/>
        <v>0.71397184647497081</v>
      </c>
      <c r="H13" s="14">
        <f t="shared" si="1"/>
        <v>694.93259723563824</v>
      </c>
      <c r="I13" s="1">
        <f t="shared" si="3"/>
        <v>13.5</v>
      </c>
      <c r="J13" s="15">
        <f t="shared" si="4"/>
        <v>9381.5900626811163</v>
      </c>
    </row>
    <row r="14" spans="2:10" x14ac:dyDescent="0.3">
      <c r="B14" s="1" t="s">
        <v>54</v>
      </c>
      <c r="C14" s="18">
        <v>1500</v>
      </c>
      <c r="E14" s="1">
        <f t="shared" si="5"/>
        <v>10</v>
      </c>
      <c r="F14" s="13">
        <f t="shared" si="0"/>
        <v>6.5503558484718116E-2</v>
      </c>
      <c r="G14" s="13">
        <f t="shared" si="2"/>
        <v>0.65503558484718116</v>
      </c>
      <c r="H14" s="14">
        <f t="shared" si="1"/>
        <v>573.81117232613065</v>
      </c>
      <c r="I14" s="1">
        <f t="shared" si="3"/>
        <v>16.5</v>
      </c>
      <c r="J14" s="15">
        <f t="shared" si="4"/>
        <v>9467.8843433811562</v>
      </c>
    </row>
    <row r="15" spans="2:10" x14ac:dyDescent="0.3">
      <c r="B15" s="1" t="s">
        <v>42</v>
      </c>
      <c r="C15" s="19">
        <f>C13/(C12-C14)</f>
        <v>7.1162900333841739</v>
      </c>
      <c r="E15" s="1">
        <f t="shared" si="5"/>
        <v>11</v>
      </c>
      <c r="F15" s="13">
        <f t="shared" si="0"/>
        <v>5.189848759422068E-2</v>
      </c>
      <c r="G15" s="13">
        <f t="shared" si="2"/>
        <v>0.57088336353642744</v>
      </c>
      <c r="H15" s="14">
        <f t="shared" si="1"/>
        <v>454.63075132537313</v>
      </c>
      <c r="I15" s="1">
        <f t="shared" si="3"/>
        <v>19.5</v>
      </c>
      <c r="J15" s="15">
        <f t="shared" si="4"/>
        <v>8865.2996508447759</v>
      </c>
    </row>
    <row r="16" spans="2:10" x14ac:dyDescent="0.3">
      <c r="E16" s="1">
        <f t="shared" si="5"/>
        <v>12</v>
      </c>
      <c r="F16" s="13">
        <f t="shared" si="0"/>
        <v>3.9524709210699144E-2</v>
      </c>
      <c r="G16" s="13">
        <f t="shared" si="2"/>
        <v>0.47429651052838973</v>
      </c>
      <c r="H16" s="14">
        <f t="shared" si="1"/>
        <v>346.23645268572449</v>
      </c>
      <c r="I16" s="1">
        <f t="shared" si="3"/>
        <v>22.5</v>
      </c>
      <c r="J16" s="15">
        <f t="shared" si="4"/>
        <v>7790.3201854288009</v>
      </c>
    </row>
    <row r="17" spans="5:10" x14ac:dyDescent="0.3">
      <c r="E17" s="1">
        <f t="shared" si="5"/>
        <v>13</v>
      </c>
      <c r="F17" s="13">
        <f t="shared" si="0"/>
        <v>2.8972402345964213E-2</v>
      </c>
      <c r="G17" s="13">
        <f t="shared" si="2"/>
        <v>0.37664123049753478</v>
      </c>
      <c r="H17" s="14">
        <f t="shared" si="1"/>
        <v>253.7982445506465</v>
      </c>
      <c r="I17" s="1">
        <f t="shared" si="3"/>
        <v>25.5</v>
      </c>
      <c r="J17" s="15">
        <f t="shared" si="4"/>
        <v>6471.855236041486</v>
      </c>
    </row>
    <row r="18" spans="5:10" x14ac:dyDescent="0.3">
      <c r="E18" s="1">
        <f t="shared" si="5"/>
        <v>14</v>
      </c>
      <c r="F18" s="13">
        <f t="shared" si="0"/>
        <v>2.0462147292982059E-2</v>
      </c>
      <c r="G18" s="13">
        <f t="shared" si="2"/>
        <v>0.2864700621017488</v>
      </c>
      <c r="H18" s="14">
        <f t="shared" si="1"/>
        <v>179.24841028652284</v>
      </c>
      <c r="I18" s="1">
        <f t="shared" si="3"/>
        <v>28.5</v>
      </c>
      <c r="J18" s="15">
        <f t="shared" si="4"/>
        <v>5108.5796931659006</v>
      </c>
    </row>
    <row r="19" spans="5:10" x14ac:dyDescent="0.3">
      <c r="E19" s="1">
        <f t="shared" si="5"/>
        <v>15</v>
      </c>
      <c r="F19" s="13">
        <f t="shared" si="0"/>
        <v>1.3935570181011927E-2</v>
      </c>
      <c r="G19" s="13">
        <f t="shared" si="2"/>
        <v>0.2090335527151789</v>
      </c>
      <c r="H19" s="14">
        <f t="shared" si="1"/>
        <v>122.07559478566448</v>
      </c>
      <c r="I19" s="1">
        <f t="shared" si="3"/>
        <v>31.5</v>
      </c>
      <c r="J19" s="15">
        <f t="shared" si="4"/>
        <v>3845.3812357484312</v>
      </c>
    </row>
    <row r="20" spans="5:10" x14ac:dyDescent="0.3">
      <c r="E20" s="1">
        <f t="shared" si="5"/>
        <v>16</v>
      </c>
      <c r="F20" s="13">
        <f t="shared" si="0"/>
        <v>9.1578194443670928E-3</v>
      </c>
      <c r="G20" s="13">
        <f t="shared" si="2"/>
        <v>0.14652511110987348</v>
      </c>
      <c r="H20" s="14">
        <f t="shared" si="1"/>
        <v>80.222498332655732</v>
      </c>
      <c r="I20" s="1">
        <f t="shared" si="3"/>
        <v>34.5</v>
      </c>
      <c r="J20" s="15">
        <f t="shared" si="4"/>
        <v>2767.6761924766229</v>
      </c>
    </row>
    <row r="21" spans="5:10" x14ac:dyDescent="0.3">
      <c r="E21" s="1">
        <f t="shared" si="5"/>
        <v>17</v>
      </c>
      <c r="F21" s="13">
        <f t="shared" si="0"/>
        <v>5.8101577400088908E-3</v>
      </c>
      <c r="G21" s="13">
        <f t="shared" si="2"/>
        <v>9.877268158015115E-2</v>
      </c>
      <c r="H21" s="14">
        <f t="shared" si="1"/>
        <v>50.896981802477882</v>
      </c>
      <c r="I21" s="1">
        <f t="shared" si="3"/>
        <v>37.5</v>
      </c>
      <c r="J21" s="15">
        <f t="shared" si="4"/>
        <v>1908.6368175929206</v>
      </c>
    </row>
    <row r="22" spans="5:10" x14ac:dyDescent="0.3">
      <c r="E22" s="1">
        <f t="shared" si="5"/>
        <v>18</v>
      </c>
      <c r="F22" s="13">
        <f t="shared" si="0"/>
        <v>3.5604649279607332E-3</v>
      </c>
      <c r="G22" s="13">
        <f t="shared" si="2"/>
        <v>6.4088368703293194E-2</v>
      </c>
      <c r="H22" s="14">
        <f t="shared" si="1"/>
        <v>31.189672768936024</v>
      </c>
      <c r="I22" s="1">
        <f t="shared" si="3"/>
        <v>37.5</v>
      </c>
      <c r="J22" s="15">
        <f t="shared" si="4"/>
        <v>1169.6127288351008</v>
      </c>
    </row>
    <row r="23" spans="5:10" x14ac:dyDescent="0.3">
      <c r="E23" s="1">
        <f t="shared" si="5"/>
        <v>19</v>
      </c>
      <c r="F23" s="13">
        <f t="shared" si="0"/>
        <v>2.1081975808627581E-3</v>
      </c>
      <c r="G23" s="13">
        <f t="shared" si="2"/>
        <v>4.0055754036392402E-2</v>
      </c>
      <c r="H23" s="14">
        <f t="shared" si="1"/>
        <v>18.467810808357761</v>
      </c>
      <c r="I23" s="1">
        <f t="shared" si="3"/>
        <v>37.5</v>
      </c>
      <c r="J23" s="15">
        <f t="shared" si="4"/>
        <v>692.5429053134161</v>
      </c>
    </row>
    <row r="24" spans="5:10" x14ac:dyDescent="0.3">
      <c r="E24" s="1">
        <f t="shared" si="5"/>
        <v>20</v>
      </c>
      <c r="F24" s="13">
        <f t="shared" si="0"/>
        <v>1.2065338351423176E-3</v>
      </c>
      <c r="G24" s="13">
        <f t="shared" si="2"/>
        <v>2.4130676702846351E-2</v>
      </c>
      <c r="H24" s="14">
        <f t="shared" si="1"/>
        <v>10.569236395846701</v>
      </c>
      <c r="I24" s="1">
        <f t="shared" si="3"/>
        <v>37.5</v>
      </c>
      <c r="J24" s="15">
        <f t="shared" si="4"/>
        <v>396.3463648442513</v>
      </c>
    </row>
    <row r="25" spans="5:10" x14ac:dyDescent="0.3">
      <c r="E25" s="1">
        <f t="shared" si="5"/>
        <v>21</v>
      </c>
      <c r="F25" s="13">
        <f t="shared" si="0"/>
        <v>6.6758858487214767E-4</v>
      </c>
      <c r="G25" s="13">
        <f t="shared" si="2"/>
        <v>1.4019360282315102E-2</v>
      </c>
      <c r="H25" s="14">
        <f t="shared" si="1"/>
        <v>5.8480760034800134</v>
      </c>
      <c r="I25" s="1">
        <f t="shared" si="3"/>
        <v>37.5</v>
      </c>
      <c r="J25" s="15">
        <f t="shared" si="4"/>
        <v>219.3028501305005</v>
      </c>
    </row>
    <row r="26" spans="5:10" x14ac:dyDescent="0.3">
      <c r="E26" s="1">
        <f t="shared" si="5"/>
        <v>22</v>
      </c>
      <c r="F26" s="13">
        <f t="shared" si="0"/>
        <v>3.5720759398145203E-4</v>
      </c>
      <c r="G26" s="13">
        <f t="shared" si="2"/>
        <v>7.8585670675919445E-3</v>
      </c>
      <c r="H26" s="14">
        <f t="shared" si="1"/>
        <v>3.1291385232775197</v>
      </c>
      <c r="I26" s="1">
        <f t="shared" si="3"/>
        <v>37.5</v>
      </c>
      <c r="J26" s="15">
        <f t="shared" si="4"/>
        <v>117.34269462290699</v>
      </c>
    </row>
    <row r="27" spans="5:10" x14ac:dyDescent="0.3">
      <c r="E27" s="1">
        <f>E26+1</f>
        <v>23</v>
      </c>
      <c r="F27" s="13">
        <f t="shared" si="0"/>
        <v>1.8486833538797838E-4</v>
      </c>
      <c r="G27" s="13">
        <f t="shared" si="2"/>
        <v>4.251971713923503E-3</v>
      </c>
      <c r="H27" s="14">
        <f t="shared" si="1"/>
        <v>1.6194466179986906</v>
      </c>
      <c r="I27" s="1">
        <f t="shared" si="3"/>
        <v>37.5</v>
      </c>
      <c r="J27" s="15">
        <f t="shared" si="4"/>
        <v>60.729248174950897</v>
      </c>
    </row>
    <row r="28" spans="5:10" x14ac:dyDescent="0.3">
      <c r="E28" s="1">
        <f>E27+1</f>
        <v>24</v>
      </c>
      <c r="F28" s="13">
        <f t="shared" si="0"/>
        <v>9.2557353065009549E-5</v>
      </c>
      <c r="G28" s="13">
        <f t="shared" si="2"/>
        <v>2.221376473560229E-3</v>
      </c>
      <c r="H28" s="14">
        <f t="shared" si="1"/>
        <v>0.81080241284948362</v>
      </c>
      <c r="I28" s="1">
        <f t="shared" si="3"/>
        <v>37.5</v>
      </c>
      <c r="J28" s="15">
        <f t="shared" si="4"/>
        <v>30.405090481855638</v>
      </c>
    </row>
    <row r="29" spans="5:10" x14ac:dyDescent="0.3">
      <c r="E29" s="1">
        <f>E28+1</f>
        <v>25</v>
      </c>
      <c r="F29" s="13">
        <f t="shared" si="0"/>
        <v>4.4836631827709973E-5</v>
      </c>
      <c r="G29" s="13">
        <f t="shared" si="2"/>
        <v>1.1209157956927492E-3</v>
      </c>
      <c r="H29" s="14">
        <f t="shared" si="1"/>
        <v>0.39276889481073934</v>
      </c>
      <c r="I29" s="1">
        <f t="shared" si="3"/>
        <v>37.5</v>
      </c>
      <c r="J29" s="15">
        <f t="shared" si="4"/>
        <v>14.728833555402725</v>
      </c>
    </row>
    <row r="30" spans="5:10" x14ac:dyDescent="0.3">
      <c r="E30" s="1">
        <f>E29+1</f>
        <v>26</v>
      </c>
      <c r="F30" s="13">
        <f t="shared" si="0"/>
        <v>2.1017831430906449E-5</v>
      </c>
      <c r="G30" s="13">
        <f t="shared" si="2"/>
        <v>5.4646361720356762E-4</v>
      </c>
      <c r="H30" s="14">
        <f t="shared" si="1"/>
        <v>0.18411620333474049</v>
      </c>
      <c r="I30" s="1">
        <f t="shared" si="3"/>
        <v>0</v>
      </c>
      <c r="J30" s="15">
        <f t="shared" si="4"/>
        <v>0</v>
      </c>
    </row>
  </sheetData>
  <mergeCells count="1">
    <mergeCell ref="E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 9.2</vt:lpstr>
      <vt:lpstr>Exercice 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2021-11-13T14:39:54Z</dcterms:created>
  <dcterms:modified xsi:type="dcterms:W3CDTF">2022-03-15T17:41:24Z</dcterms:modified>
</cp:coreProperties>
</file>